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122" i="1" l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<sst xmlns="http://schemas.openxmlformats.org/spreadsheetml/2006/main" count="2531" uniqueCount="603">
  <si>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</si>
  <si>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</si>
  <si>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</si>
  <si>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</si>
  <si>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</si>
  <si>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</si>
  <si>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</si>
  <si>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</si>
  <si>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</si>
  <si>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</si>
  <si>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</si>
  <si>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</si>
  <si>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</si>
  <si>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</si>
  <si>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</si>
  <si>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</si>
  <si>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</si>
  <si>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</si>
  <si>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</si>
  <si>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</si>
  <si>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</si>
  <si>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</si>
  <si>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</si>
  <si>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</si>
  <si>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</si>
  <si>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</si>
  <si>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</si>
  <si>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</si>
  <si>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</si>
  <si>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</si>
  <si>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</si>
  <si>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</si>
  <si>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</si>
  <si>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</si>
  <si>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</si>
  <si>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</si>
  <si>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</si>
  <si>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</si>
  <si>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</si>
  <si>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</si>
  <si>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</si>
  <si>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</si>
  <si>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</si>
  <si>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</si>
  <si>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</si>
  <si>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</si>
  <si>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</si>
  <si>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</si>
  <si>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</si>
  <si>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</si>
  <si>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</si>
  <si>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</si>
  <si>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</si>
  <si>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</si>
  <si>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</si>
  <si>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</si>
  <si>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</si>
  <si>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</si>
  <si>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</si>
  <si>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</si>
  <si>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</si>
  <si>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</si>
  <si>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</si>
  <si>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</si>
  <si>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</si>
  <si>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</si>
  <si>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</si>
  <si>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</si>
  <si>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</si>
  <si>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</si>
  <si>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</si>
  <si>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</si>
  <si>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</si>
  <si>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</si>
  <si>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</si>
  <si>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</si>
  <si>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PRETO</t>
  </si>
  <si>
    <t>PRETORIA</t>
  </si>
  <si>
    <t>ON1</t>
  </si>
  <si>
    <t>?</t>
  </si>
  <si>
    <t>PARCEL</t>
  </si>
  <si>
    <t>no</t>
  </si>
  <si>
    <t>PORT3</t>
  </si>
  <si>
    <t>PORT ELIZABETH</t>
  </si>
  <si>
    <t>POD received from cell 0848977566 M</t>
  </si>
  <si>
    <t>yes</t>
  </si>
  <si>
    <t>Appointment required</t>
  </si>
  <si>
    <t>lin</t>
  </si>
  <si>
    <t>Flyer</t>
  </si>
  <si>
    <t>EAST</t>
  </si>
  <si>
    <t>EAST LONDON</t>
  </si>
  <si>
    <t>CAPET</t>
  </si>
  <si>
    <t>CAPE TOWN</t>
  </si>
  <si>
    <t>Late Linehaul Delayed Beyond Skynet Control</t>
  </si>
  <si>
    <t>DURBA</t>
  </si>
  <si>
    <t>DURBAN</t>
  </si>
  <si>
    <t>kat</t>
  </si>
  <si>
    <t>UMHLA</t>
  </si>
  <si>
    <t>UMHLANGA ROCKS</t>
  </si>
  <si>
    <t>POD received from cell 0744435413 M</t>
  </si>
  <si>
    <t>Late linehaul</t>
  </si>
  <si>
    <t>PINET</t>
  </si>
  <si>
    <t>PINETOWN</t>
  </si>
  <si>
    <t>RD</t>
  </si>
  <si>
    <t>rd1</t>
  </si>
  <si>
    <t>JOHAN</t>
  </si>
  <si>
    <t>JOHANNESBURG</t>
  </si>
  <si>
    <t>SIGNED</t>
  </si>
  <si>
    <t xml:space="preserve">POD received from cell 0638501267 M     </t>
  </si>
  <si>
    <t>POD received from cell 0833616148 M</t>
  </si>
  <si>
    <t>POD received from cell 0783350261 M</t>
  </si>
  <si>
    <t>POD received from cell 0643414757 M</t>
  </si>
  <si>
    <t>BENON</t>
  </si>
  <si>
    <t>BENONI</t>
  </si>
  <si>
    <t>ILLEG</t>
  </si>
  <si>
    <t>POD received from cell 0730059234 M</t>
  </si>
  <si>
    <t>POD received from cell 0625063292 M</t>
  </si>
  <si>
    <t>BLOE1</t>
  </si>
  <si>
    <t>BLOEMFONTEIN</t>
  </si>
  <si>
    <t>Company Closed</t>
  </si>
  <si>
    <t>jam</t>
  </si>
  <si>
    <t>RDL</t>
  </si>
  <si>
    <t>RD2</t>
  </si>
  <si>
    <t>capet</t>
  </si>
  <si>
    <t>Consignee not available)</t>
  </si>
  <si>
    <t>POD received from cell 0638501267 M</t>
  </si>
  <si>
    <t>POD received from cell 0731234559 M</t>
  </si>
  <si>
    <t>RANDB</t>
  </si>
  <si>
    <t>RANDBURG</t>
  </si>
  <si>
    <t>POD received from cell 0745037779 M</t>
  </si>
  <si>
    <t>Missed cutoff</t>
  </si>
  <si>
    <t>MIDRA</t>
  </si>
  <si>
    <t>MIDRAND</t>
  </si>
  <si>
    <t>sam</t>
  </si>
  <si>
    <t>Outlying delivery location</t>
  </si>
  <si>
    <t>NGF</t>
  </si>
  <si>
    <t>MOSSE</t>
  </si>
  <si>
    <t>MOSSEL BAY</t>
  </si>
  <si>
    <t xml:space="preserve">                                        </t>
  </si>
  <si>
    <t>SOME2</t>
  </si>
  <si>
    <t>SOMERSET WEST</t>
  </si>
  <si>
    <t>JVD</t>
  </si>
  <si>
    <t>CHRIS</t>
  </si>
  <si>
    <t>POD received from cell 0620923972 M</t>
  </si>
  <si>
    <t>lep</t>
  </si>
  <si>
    <t>WHITE</t>
  </si>
  <si>
    <t>WHITE RIVER</t>
  </si>
  <si>
    <t>POD received from cell 0820924588 M</t>
  </si>
  <si>
    <t>PIET1</t>
  </si>
  <si>
    <t>PIETERMARITZBURG</t>
  </si>
  <si>
    <t>POD received from cell 0717313860 M</t>
  </si>
  <si>
    <t xml:space="preserve">POD received from cell 0834291999 M     </t>
  </si>
  <si>
    <t>BOX</t>
  </si>
  <si>
    <t>SASOL</t>
  </si>
  <si>
    <t>SASOLBURG</t>
  </si>
  <si>
    <t>jvd</t>
  </si>
  <si>
    <t>teb</t>
  </si>
  <si>
    <t>POD received from cell 0834172191 M</t>
  </si>
  <si>
    <t>AMANZ</t>
  </si>
  <si>
    <t>AMANZIMTOTI</t>
  </si>
  <si>
    <t>POD received from cell 0738726261 M</t>
  </si>
  <si>
    <t>POD received from cell 0781512668 M</t>
  </si>
  <si>
    <t>ERNEST</t>
  </si>
  <si>
    <t>THABANG</t>
  </si>
  <si>
    <t>seb</t>
  </si>
  <si>
    <t>vusi</t>
  </si>
  <si>
    <t>ROODE</t>
  </si>
  <si>
    <t>ROODEPOORT</t>
  </si>
  <si>
    <t>Bad address</t>
  </si>
  <si>
    <t>JACQUES</t>
  </si>
  <si>
    <t>PHILLEMON</t>
  </si>
  <si>
    <t>WALTER</t>
  </si>
  <si>
    <t>RUSTE</t>
  </si>
  <si>
    <t>RUSTENBURG</t>
  </si>
  <si>
    <t>win</t>
  </si>
  <si>
    <t>Victor</t>
  </si>
  <si>
    <t>preto</t>
  </si>
  <si>
    <t>RD3</t>
  </si>
  <si>
    <t>MARK</t>
  </si>
  <si>
    <t>signed</t>
  </si>
  <si>
    <t>san</t>
  </si>
  <si>
    <t>let</t>
  </si>
  <si>
    <t>POD received from cell 0725851046 M</t>
  </si>
  <si>
    <t>POD received from cell 0646961472 M</t>
  </si>
  <si>
    <t xml:space="preserve">ILLEG                         </t>
  </si>
  <si>
    <t>Michelle</t>
  </si>
  <si>
    <t>POD received from cell 0834941426 M</t>
  </si>
  <si>
    <t>POD received from cell 0731123851 M</t>
  </si>
  <si>
    <t>ON2</t>
  </si>
  <si>
    <t>RDD</t>
  </si>
  <si>
    <t xml:space="preserve">PRIVATE                            </t>
  </si>
  <si>
    <t>RDX</t>
  </si>
  <si>
    <t>MANAGER</t>
  </si>
  <si>
    <t>PIET2</t>
  </si>
  <si>
    <t>PIETERSBURG</t>
  </si>
  <si>
    <t>may</t>
  </si>
  <si>
    <t>Box</t>
  </si>
  <si>
    <t>SYSTEM</t>
  </si>
  <si>
    <t>POD received from cell 0748410312 M</t>
  </si>
  <si>
    <t>SDX</t>
  </si>
  <si>
    <t>yvonne</t>
  </si>
  <si>
    <t>PERCY</t>
  </si>
  <si>
    <t xml:space="preserve">NATIONAL BRANDS LIMITED            </t>
  </si>
  <si>
    <t>POD received from cell 0769390183 M</t>
  </si>
  <si>
    <t>SIG</t>
  </si>
  <si>
    <t>tracy</t>
  </si>
  <si>
    <t>SANDT</t>
  </si>
  <si>
    <t>SANDTON</t>
  </si>
  <si>
    <t>PAMELA</t>
  </si>
  <si>
    <t>RICHA</t>
  </si>
  <si>
    <t>RICHARDS BAY</t>
  </si>
  <si>
    <t xml:space="preserve">POD received from cell 0768934183 M     </t>
  </si>
  <si>
    <t>RD1</t>
  </si>
  <si>
    <t>N A</t>
  </si>
  <si>
    <t>NICO</t>
  </si>
  <si>
    <t>JERRY</t>
  </si>
  <si>
    <t>RDY</t>
  </si>
  <si>
    <t>THABO</t>
  </si>
  <si>
    <t>george</t>
  </si>
  <si>
    <t xml:space="preserve">POD received from cell 0633530074 M     </t>
  </si>
  <si>
    <t>POD received from cell 0795513816 M</t>
  </si>
  <si>
    <t>nelsp</t>
  </si>
  <si>
    <t>NELSPRUIT</t>
  </si>
  <si>
    <t>KIMBE</t>
  </si>
  <si>
    <t>KIMBERLEY</t>
  </si>
  <si>
    <t>jerry</t>
  </si>
  <si>
    <t>BOXES</t>
  </si>
  <si>
    <t>psi</t>
  </si>
  <si>
    <t>POD received from cell 0737276972 M</t>
  </si>
  <si>
    <t>NELSP</t>
  </si>
  <si>
    <t>POD received from cell 0664631318 M</t>
  </si>
  <si>
    <t>FLYER</t>
  </si>
  <si>
    <t>MICHAEL</t>
  </si>
  <si>
    <t>PHUMX</t>
  </si>
  <si>
    <t>SUGIE ABBU</t>
  </si>
  <si>
    <t>prince</t>
  </si>
  <si>
    <t xml:space="preserve">PRIONTEX                           </t>
  </si>
  <si>
    <t>CHESLIN</t>
  </si>
  <si>
    <t>punie</t>
  </si>
  <si>
    <t>J17991</t>
  </si>
  <si>
    <t xml:space="preserve">MOVE ANALYTICS CC - ADMIN          </t>
  </si>
  <si>
    <t xml:space="preserve">LIFEHEALTHCARE BAY VIEW PRIVAT     </t>
  </si>
  <si>
    <t>JOHANN GREEF</t>
  </si>
  <si>
    <t>ROBIN</t>
  </si>
  <si>
    <t xml:space="preserve">EUROLAB MIDRAND                    </t>
  </si>
  <si>
    <t>CHANTE</t>
  </si>
  <si>
    <t>CV NIEKERK</t>
  </si>
  <si>
    <t xml:space="preserve">KIMBERLEY HOSPITAL                 </t>
  </si>
  <si>
    <t xml:space="preserve">PRIONTEX CAPE                      </t>
  </si>
  <si>
    <t>AS PER SENDER CONTENTS SEND AS IS-CONTENTS NOT CHECKED</t>
  </si>
  <si>
    <t>MARCELLE GORDON</t>
  </si>
  <si>
    <t>BRIAN BEYERS</t>
  </si>
  <si>
    <t>Robin</t>
  </si>
  <si>
    <t>BAG(RED)</t>
  </si>
  <si>
    <t xml:space="preserve">EUROLAB ASU                        </t>
  </si>
  <si>
    <t xml:space="preserve">PRIONTEX PE                        </t>
  </si>
  <si>
    <t>Nico Strydom</t>
  </si>
  <si>
    <t>Jo-Mari Jacobs</t>
  </si>
  <si>
    <t>Johnson</t>
  </si>
  <si>
    <t xml:space="preserve">AVI FIELD MARKETING                </t>
  </si>
  <si>
    <t xml:space="preserve">EURO LAB MIDRAND                   </t>
  </si>
  <si>
    <t>EURO LAB</t>
  </si>
  <si>
    <t>CHANTEL</t>
  </si>
  <si>
    <t>Mbuso</t>
  </si>
  <si>
    <t xml:space="preserve">AVI LTD                            </t>
  </si>
  <si>
    <t xml:space="preserve">NBL DURBAN TEA FACTORY             </t>
  </si>
  <si>
    <t>MUKESH RAMATAR</t>
  </si>
  <si>
    <t>mbongeni</t>
  </si>
  <si>
    <t xml:space="preserve">NATIONAL BRANDS                    </t>
  </si>
  <si>
    <t xml:space="preserve">INDIGO BRANDS                      </t>
  </si>
  <si>
    <t>JOHN JANSEN</t>
  </si>
  <si>
    <t>SHERAD</t>
  </si>
  <si>
    <t>venzile</t>
  </si>
  <si>
    <t>CHAANAKA JAYASEKERA</t>
  </si>
  <si>
    <t>BARIS</t>
  </si>
  <si>
    <t>KNYSN</t>
  </si>
  <si>
    <t>KNYSNA</t>
  </si>
  <si>
    <t xml:space="preserve">DR WIIDS ROOMS                     </t>
  </si>
  <si>
    <t>MARISE</t>
  </si>
  <si>
    <t>L meyer</t>
  </si>
  <si>
    <t xml:space="preserve">CONSTANTIA FLEX                    </t>
  </si>
  <si>
    <t>JONATHAN FORSTER</t>
  </si>
  <si>
    <t>MELISA SUKU</t>
  </si>
  <si>
    <t>chandre</t>
  </si>
  <si>
    <t xml:space="preserve">B BRAUN                            </t>
  </si>
  <si>
    <t>LORRAINE MARRAIS</t>
  </si>
  <si>
    <t>ROBIN TRICIA</t>
  </si>
  <si>
    <t>LORRAINE</t>
  </si>
  <si>
    <t xml:space="preserve">CHARLENE                           </t>
  </si>
  <si>
    <t>MFUNDO CEBEKHULU</t>
  </si>
  <si>
    <t>CANDICE MURISON</t>
  </si>
  <si>
    <t>badia</t>
  </si>
  <si>
    <t xml:space="preserve">ROCHE SEQUENCING KAPA BIOSYSTE     </t>
  </si>
  <si>
    <t>J PREMSAGA</t>
  </si>
  <si>
    <t>IMTIYAAZ</t>
  </si>
  <si>
    <t xml:space="preserve">SOMERSET EYE CUREDAY DAY HOSPI     </t>
  </si>
  <si>
    <t>DR N.LOCKBURN</t>
  </si>
  <si>
    <t>SHAMIL</t>
  </si>
  <si>
    <t>Nicky</t>
  </si>
  <si>
    <t xml:space="preserve">RAINBOW ONCOLOGY                   </t>
  </si>
  <si>
    <t>LASHISTHA</t>
  </si>
  <si>
    <t>sheron</t>
  </si>
  <si>
    <t xml:space="preserve">DR MP MESHAM                       </t>
  </si>
  <si>
    <t>DR MP MESHAM</t>
  </si>
  <si>
    <t>MP MESHAM</t>
  </si>
  <si>
    <t xml:space="preserve">PRETORIA EYE INSTITUTE             </t>
  </si>
  <si>
    <t>DR COR VAN ZYL</t>
  </si>
  <si>
    <t xml:space="preserve">Y VAN ZYL                     </t>
  </si>
  <si>
    <t xml:space="preserve">A HARTRODT SA PTY LTD              </t>
  </si>
  <si>
    <t>RUSTIN STEVENS</t>
  </si>
  <si>
    <t>SABASTIAN</t>
  </si>
  <si>
    <t>DOCS</t>
  </si>
  <si>
    <t xml:space="preserve">NETCARE PARKLNDS PHARMACY          </t>
  </si>
  <si>
    <t>FUAD SALIE</t>
  </si>
  <si>
    <t>mongeli</t>
  </si>
  <si>
    <t>ISOLATION GOWNS</t>
  </si>
  <si>
    <t xml:space="preserve">GELVENOR TEXTLES                   </t>
  </si>
  <si>
    <t xml:space="preserve">GINA                               </t>
  </si>
  <si>
    <t xml:space="preserve">Elton                         </t>
  </si>
  <si>
    <t xml:space="preserve">AVI National Brands                </t>
  </si>
  <si>
    <t xml:space="preserve">Bakers Biscuits                    </t>
  </si>
  <si>
    <t>Go to Reception and ask for Charlene</t>
  </si>
  <si>
    <t>Debbie Nortje</t>
  </si>
  <si>
    <t>Charlene Sawtelle</t>
  </si>
  <si>
    <t xml:space="preserve">DR JA NELL                         </t>
  </si>
  <si>
    <t>CORNE VD WESTHUIZEN</t>
  </si>
  <si>
    <t>corne</t>
  </si>
  <si>
    <t xml:space="preserve">ELDIARO TRADERS T A PRIONTEX       </t>
  </si>
  <si>
    <t>NICO STRYDOM</t>
  </si>
  <si>
    <t>Chante</t>
  </si>
  <si>
    <t xml:space="preserve">SANJMED MEDICAL DISTRIBUTION       </t>
  </si>
  <si>
    <t>SHIREEN</t>
  </si>
  <si>
    <t>Marcelle</t>
  </si>
  <si>
    <t xml:space="preserve">AVI FIELDMARKETING                 </t>
  </si>
  <si>
    <t xml:space="preserve">AVI FM                             </t>
  </si>
  <si>
    <t>NONNIE</t>
  </si>
  <si>
    <t>APHIWE</t>
  </si>
  <si>
    <t xml:space="preserve">AVI FIELD MARKETING-FREE STATE     </t>
  </si>
  <si>
    <t xml:space="preserve">PRIONTEX JBG                       </t>
  </si>
  <si>
    <t>CARLA SCHEEPERS</t>
  </si>
  <si>
    <t>Jenny Van Wyk</t>
  </si>
  <si>
    <t>MBONENI</t>
  </si>
  <si>
    <t xml:space="preserve">BAYVIEW PRIVATE HOSPITAL           </t>
  </si>
  <si>
    <t>OTTO-JURGEN PLOOG</t>
  </si>
  <si>
    <t>tanya</t>
  </si>
  <si>
    <t>THEATRE GOWNS</t>
  </si>
  <si>
    <t xml:space="preserve">ELDIANO TRADERS PRIONTEX PE        </t>
  </si>
  <si>
    <t>Jacques</t>
  </si>
  <si>
    <t>HOSPITAL ITMES</t>
  </si>
  <si>
    <t xml:space="preserve">PRIONTER MICROCLEAN                </t>
  </si>
  <si>
    <t xml:space="preserve">PRIONTER B   L STORI SOLUTION      </t>
  </si>
  <si>
    <t xml:space="preserve">INDISO COASMETICS                  </t>
  </si>
  <si>
    <t>FARENO JACOBS</t>
  </si>
  <si>
    <t>Khanyile</t>
  </si>
  <si>
    <t xml:space="preserve">MIDLANDS MEDICAL CENTRE            </t>
  </si>
  <si>
    <t>DR Y MOHAMMED</t>
  </si>
  <si>
    <t>ikh</t>
  </si>
  <si>
    <t xml:space="preserve">COVENTRY CLOTHING                  </t>
  </si>
  <si>
    <t>ANDREA</t>
  </si>
  <si>
    <t>mumtaz</t>
  </si>
  <si>
    <t xml:space="preserve">Jason Forbes                       </t>
  </si>
  <si>
    <t>Jason Forbes</t>
  </si>
  <si>
    <t>Robert</t>
  </si>
  <si>
    <t>Envelope</t>
  </si>
  <si>
    <t xml:space="preserve">AVI FIELD MATKETING INLAND WES     </t>
  </si>
  <si>
    <t>JACKIE THERON</t>
  </si>
  <si>
    <t xml:space="preserve">Catherine Makim                    </t>
  </si>
  <si>
    <t>Cathrine Makim</t>
  </si>
  <si>
    <t xml:space="preserve">Anthony                       </t>
  </si>
  <si>
    <t xml:space="preserve">POD received from cell 0835346652 M     </t>
  </si>
  <si>
    <t>PHILLEMON MABENA</t>
  </si>
  <si>
    <t>A SONGWANGWA</t>
  </si>
  <si>
    <t>Philimon</t>
  </si>
  <si>
    <t xml:space="preserve">MOVE ANALYTICS                     </t>
  </si>
  <si>
    <t xml:space="preserve">Tracy Peel                         </t>
  </si>
  <si>
    <t>TRACY PEEL</t>
  </si>
  <si>
    <t>MARION RAWSON</t>
  </si>
  <si>
    <t xml:space="preserve">Jacaranda FM Main Office           </t>
  </si>
  <si>
    <t>Afternoon Drive Team</t>
  </si>
  <si>
    <t>Methembe/Michael/ Robert</t>
  </si>
  <si>
    <t>obakeng</t>
  </si>
  <si>
    <t>NAOHIR BOODHOO</t>
  </si>
  <si>
    <t xml:space="preserve">Pamela Weinmann                    </t>
  </si>
  <si>
    <t xml:space="preserve">David Hood                         </t>
  </si>
  <si>
    <t>David Hood</t>
  </si>
  <si>
    <t>Pamela Weinmann</t>
  </si>
  <si>
    <t>rayo</t>
  </si>
  <si>
    <t xml:space="preserve">S.A.SUGAR ASSOCIATION              </t>
  </si>
  <si>
    <t>DIRAY DUKKA</t>
  </si>
  <si>
    <t>CHARLENE S</t>
  </si>
  <si>
    <t>sindi</t>
  </si>
  <si>
    <t xml:space="preserve">CIRO KZN                           </t>
  </si>
  <si>
    <t>MELISSA NAIDOO</t>
  </si>
  <si>
    <t>MELISSA</t>
  </si>
  <si>
    <t xml:space="preserve">CHARLENE S                         </t>
  </si>
  <si>
    <t xml:space="preserve">NATIONAL BRANDS LTD                </t>
  </si>
  <si>
    <t>PHILLIP  ALTAAF</t>
  </si>
  <si>
    <t>TSIDI</t>
  </si>
  <si>
    <t>SHERALD</t>
  </si>
  <si>
    <t>gcali</t>
  </si>
  <si>
    <t xml:space="preserve">PVT                                </t>
  </si>
  <si>
    <t>ROBIN RENE</t>
  </si>
  <si>
    <t>DR MI KHAN</t>
  </si>
  <si>
    <t>KHANSILE</t>
  </si>
  <si>
    <t>Returned to sender on waybill number RR0</t>
  </si>
  <si>
    <t xml:space="preserve">GELVENOR TEXTILES                  </t>
  </si>
  <si>
    <t xml:space="preserve">PRINTEX S A                        </t>
  </si>
  <si>
    <t>MARCHELLE</t>
  </si>
  <si>
    <t>TAZ</t>
  </si>
  <si>
    <t xml:space="preserve">MEDICLINIC NELSPRUIT               </t>
  </si>
  <si>
    <t>WALTER MASHEGWANE</t>
  </si>
  <si>
    <t>SHAMIL BEGG</t>
  </si>
  <si>
    <t>POD received from cell 0711680349 M</t>
  </si>
  <si>
    <t xml:space="preserve">EURO LAB                           </t>
  </si>
  <si>
    <t>Mbuso Nkomo</t>
  </si>
  <si>
    <t>Boxes</t>
  </si>
  <si>
    <t xml:space="preserve">AVI FM WC                          </t>
  </si>
  <si>
    <t xml:space="preserve">AVI FM EC                          </t>
  </si>
  <si>
    <t>CHANTEL MYBURGH</t>
  </si>
  <si>
    <t>BADIA JACOBS</t>
  </si>
  <si>
    <t>SPRI1</t>
  </si>
  <si>
    <t>SPRINGBOK</t>
  </si>
  <si>
    <t xml:space="preserve">NIEL SILVER                        </t>
  </si>
  <si>
    <t xml:space="preserve">NEIL                          </t>
  </si>
  <si>
    <t xml:space="preserve">NETCARE POLOKWANE PHARMACY         </t>
  </si>
  <si>
    <t>VICTOR MOLEPO</t>
  </si>
  <si>
    <t xml:space="preserve">NETCARE OLIVEDALE PHARAMCY         </t>
  </si>
  <si>
    <t>MARINDA WEIDEMAN</t>
  </si>
  <si>
    <t>SIBU</t>
  </si>
  <si>
    <t xml:space="preserve">NETCARE GARDENCITY PHARMACY        </t>
  </si>
  <si>
    <t>ADELE PIENAAR</t>
  </si>
  <si>
    <t xml:space="preserve">Thato                         </t>
  </si>
  <si>
    <t>DR MANDY RAMPINI</t>
  </si>
  <si>
    <t>DANE</t>
  </si>
  <si>
    <t xml:space="preserve">NETCARE ST AUGUSTINES PHARMACY     </t>
  </si>
  <si>
    <t>FATIMA MOOLLA</t>
  </si>
  <si>
    <t>videsh</t>
  </si>
  <si>
    <t xml:space="preserve">NETCARE ST ANNES PHARMACY          </t>
  </si>
  <si>
    <t>SHARON SINGH</t>
  </si>
  <si>
    <t>VELENKOSI</t>
  </si>
  <si>
    <t xml:space="preserve">NETCARE LINMED PHARMACY            </t>
  </si>
  <si>
    <t>KAREN LAM</t>
  </si>
  <si>
    <t>KAREN</t>
  </si>
  <si>
    <t xml:space="preserve">DR CHETTY                          </t>
  </si>
  <si>
    <t>DR V CHETTY-B</t>
  </si>
  <si>
    <t>SHANSHAN</t>
  </si>
  <si>
    <t>THABO FLEET</t>
  </si>
  <si>
    <t>METHEMBE</t>
  </si>
  <si>
    <t xml:space="preserve">LIFE HEALTHCARE BAYVIEW PRIV H     </t>
  </si>
  <si>
    <t>JOHAN GREEF</t>
  </si>
  <si>
    <t xml:space="preserve">Renena                        </t>
  </si>
  <si>
    <t xml:space="preserve">AVI                                </t>
  </si>
  <si>
    <t>NONHLANHLA MCHUNU</t>
  </si>
  <si>
    <t>SONAY</t>
  </si>
  <si>
    <t>POD received from cell 0761285291 M</t>
  </si>
  <si>
    <t>HAMME</t>
  </si>
  <si>
    <t>OLD HAMMARSDALE</t>
  </si>
  <si>
    <t>GIRESH</t>
  </si>
  <si>
    <t xml:space="preserve">NETCARE FERNCREST PHY              </t>
  </si>
  <si>
    <t>CHRIS STASSEN</t>
  </si>
  <si>
    <t>mulalo</t>
  </si>
  <si>
    <t xml:space="preserve">NETCARE ST ANNES PHY               </t>
  </si>
  <si>
    <t xml:space="preserve">NETCARE GREENACRES PHY             </t>
  </si>
  <si>
    <t>GARETH HEUFF</t>
  </si>
  <si>
    <t>anelisa</t>
  </si>
  <si>
    <t xml:space="preserve">NETCARE AKASIA HOSP PHY            </t>
  </si>
  <si>
    <t>MICHELLE VERMEULEN</t>
  </si>
  <si>
    <t>SIBUSISO</t>
  </si>
  <si>
    <t xml:space="preserve">AVI FIELD MARKETING W CAPE         </t>
  </si>
  <si>
    <t>ATUFAH BOOLEY</t>
  </si>
  <si>
    <t xml:space="preserve">khansile                      </t>
  </si>
  <si>
    <t xml:space="preserve">POD received from cell 0725851046 M     </t>
  </si>
  <si>
    <t xml:space="preserve">PRIONTEX MICROCLEAN                </t>
  </si>
  <si>
    <t xml:space="preserve">NATIONAL BIOPRODUCES INS           </t>
  </si>
  <si>
    <t>ZAMALUNGA CELE</t>
  </si>
  <si>
    <t xml:space="preserve">DR ZJE ELS INC                     </t>
  </si>
  <si>
    <t>Lindi</t>
  </si>
  <si>
    <t>POD received from cell 0641377685 M</t>
  </si>
  <si>
    <t xml:space="preserve">PRIONTEX B   L                     </t>
  </si>
  <si>
    <t>MARK KISTEN</t>
  </si>
  <si>
    <t>sue sue</t>
  </si>
  <si>
    <t xml:space="preserve">EUROLAB                            </t>
  </si>
  <si>
    <t xml:space="preserve">AVI FIELD                          </t>
  </si>
  <si>
    <t>GILBERT</t>
  </si>
  <si>
    <t>A  HEM</t>
  </si>
  <si>
    <t>chante</t>
  </si>
  <si>
    <t>KOMAT</t>
  </si>
  <si>
    <t>KOMATIPOORT</t>
  </si>
  <si>
    <t xml:space="preserve">PEACEMED MEDICAL PRACTICE          </t>
  </si>
  <si>
    <t>DR B MPHACHOE</t>
  </si>
  <si>
    <t>NADHIR BOODHOO</t>
  </si>
  <si>
    <t>xolA</t>
  </si>
  <si>
    <t>POD received from cell 0715726151 M</t>
  </si>
  <si>
    <t xml:space="preserve">SPIES   PARTNERS INCORP            </t>
  </si>
  <si>
    <t>ANELMA VAN RENSBURG</t>
  </si>
  <si>
    <t>SWANEPOOL</t>
  </si>
  <si>
    <t xml:space="preserve">SELECTIVE SURGICAL                 </t>
  </si>
  <si>
    <t>ZAUE FOURIE</t>
  </si>
  <si>
    <t>Mandla</t>
  </si>
  <si>
    <t xml:space="preserve">DR JD SLABBERT                     </t>
  </si>
  <si>
    <t>DR JD SLABBERT</t>
  </si>
  <si>
    <t xml:space="preserve">RACHELL                       </t>
  </si>
  <si>
    <t xml:space="preserve">GRANT MEDICAL   DENTAL CENTRE      </t>
  </si>
  <si>
    <t>DR R MAHOMED</t>
  </si>
  <si>
    <t>ZANELE</t>
  </si>
  <si>
    <t xml:space="preserve">NETCARE MULBARTON PHARMACY         </t>
  </si>
  <si>
    <t>KELEBONE MAKEKETA</t>
  </si>
  <si>
    <t>kenneth</t>
  </si>
  <si>
    <t xml:space="preserve">NETCARE VAALPARK PHARMACY          </t>
  </si>
  <si>
    <t>LOUISA SCHEEPERS</t>
  </si>
  <si>
    <t>THATO</t>
  </si>
  <si>
    <t xml:space="preserve">NETCARE THE BAY PHARMACY           </t>
  </si>
  <si>
    <t>MARNA BASSON</t>
  </si>
  <si>
    <t>fanele</t>
  </si>
  <si>
    <t>POD received from cell 0782763964 M</t>
  </si>
  <si>
    <t xml:space="preserve">NETCARE UMHLANGA PHARMACY          </t>
  </si>
  <si>
    <t>ABDUL KARIM CARA</t>
  </si>
  <si>
    <t xml:space="preserve">NETCARE FERNCREST PHARMACY         </t>
  </si>
  <si>
    <t xml:space="preserve">patric                        </t>
  </si>
  <si>
    <t>CARLA</t>
  </si>
  <si>
    <t>Marelle</t>
  </si>
  <si>
    <t>STANF</t>
  </si>
  <si>
    <t>STANDFORD</t>
  </si>
  <si>
    <t xml:space="preserve">I &amp; J                              </t>
  </si>
  <si>
    <t>TEGAN CHRISTIE</t>
  </si>
  <si>
    <t>Methembe</t>
  </si>
  <si>
    <t>Mluga</t>
  </si>
  <si>
    <t>POD received from cell 0785909133 M</t>
  </si>
  <si>
    <t>HERMA</t>
  </si>
  <si>
    <t>HERMANUS</t>
  </si>
  <si>
    <t>JP siebritz</t>
  </si>
  <si>
    <t xml:space="preserve">NETCARE FEMINA PHARMACY            </t>
  </si>
  <si>
    <t>LINDIE VAN TONDER</t>
  </si>
  <si>
    <t>pfarelo</t>
  </si>
  <si>
    <t>POD received from cell 0799964391 M</t>
  </si>
  <si>
    <t xml:space="preserve">NETCARE N1 CITY HOSPITAL           </t>
  </si>
  <si>
    <t>DR M SANLIEGH KAMIEDEM</t>
  </si>
  <si>
    <t>fozieh</t>
  </si>
  <si>
    <t xml:space="preserve">PRIONTEX MICRONCREAM               </t>
  </si>
  <si>
    <t>JANINE V D MERWE</t>
  </si>
  <si>
    <t>FACE MASK</t>
  </si>
  <si>
    <t xml:space="preserve">NETCARE OLIVEDALE PHARMACY         </t>
  </si>
  <si>
    <t>TSAKANI</t>
  </si>
  <si>
    <t xml:space="preserve">Lentegeur Psychiatric Hospital     </t>
  </si>
  <si>
    <t>Marcelle Gordon</t>
  </si>
  <si>
    <t>Blanche at Reception</t>
  </si>
  <si>
    <t xml:space="preserve">PRIONTEX MICRONCLEAN               </t>
  </si>
  <si>
    <t>EDGAR JERRY</t>
  </si>
  <si>
    <t>DISP FACE MASK</t>
  </si>
  <si>
    <t xml:space="preserve">UROLOCARE HOSPITALS                </t>
  </si>
  <si>
    <t>MARLIZE BURGER</t>
  </si>
  <si>
    <t>ME Burger3</t>
  </si>
  <si>
    <t xml:space="preserve">EAST LONDON EYE HOSPITAL           </t>
  </si>
  <si>
    <t>JO-ANNE HULLEY</t>
  </si>
  <si>
    <t>nolitha</t>
  </si>
  <si>
    <t>DR IB VERMEULEN</t>
  </si>
  <si>
    <t xml:space="preserve">avi field marketing                </t>
  </si>
  <si>
    <t xml:space="preserve">avi marketing                      </t>
  </si>
  <si>
    <t>mary</t>
  </si>
  <si>
    <t>warren</t>
  </si>
  <si>
    <t>Mary</t>
  </si>
  <si>
    <t>POD received from cell 0836352736 M</t>
  </si>
  <si>
    <t>NONHLANHLA M</t>
  </si>
  <si>
    <t>Jefta</t>
  </si>
  <si>
    <t>vangile</t>
  </si>
  <si>
    <t>PHILEMON MABENA</t>
  </si>
  <si>
    <t>STILF</t>
  </si>
  <si>
    <t>STILFONTEIN</t>
  </si>
  <si>
    <t xml:space="preserve">WILMED PARK PRIVATE HOSPITAL       </t>
  </si>
  <si>
    <t>CHANTAL MARAIS</t>
  </si>
  <si>
    <t>sarah</t>
  </si>
  <si>
    <t xml:space="preserve">NATIONAL BIOPRODUCTS INSTITUTE     </t>
  </si>
  <si>
    <t>KASERAN MUNIAN</t>
  </si>
  <si>
    <t>mthoko</t>
  </si>
  <si>
    <t>DR MTS ZEEMAN</t>
  </si>
  <si>
    <t>ingrid</t>
  </si>
  <si>
    <t xml:space="preserve">ZUID-AFRIKAANS HOSPITAL            </t>
  </si>
  <si>
    <t>VANESSA DUVENHAGE</t>
  </si>
  <si>
    <t>douglas</t>
  </si>
  <si>
    <t>Isaac security</t>
  </si>
  <si>
    <t xml:space="preserve">priontex                           </t>
  </si>
  <si>
    <t xml:space="preserve">EURO-LAB ASU                       </t>
  </si>
  <si>
    <t>GARMENTS</t>
  </si>
  <si>
    <t>AR SUPPORT</t>
  </si>
  <si>
    <t xml:space="preserve">PROINTEX JHB                       </t>
  </si>
  <si>
    <t xml:space="preserve">PROINTEX                           </t>
  </si>
  <si>
    <t>TLOU</t>
  </si>
  <si>
    <t xml:space="preserve">Marcelle                      </t>
  </si>
  <si>
    <t xml:space="preserve">EMBASSY OF IRELAND                 </t>
  </si>
  <si>
    <t xml:space="preserve">TAMMY PREVOST 0834592220           </t>
  </si>
  <si>
    <t>SDX. COLLECT AT 9AM. DRIVER TO TAKE DOCS WITH FOR COLLECTION</t>
  </si>
  <si>
    <t>PASSPORT COLLECTIONS</t>
  </si>
  <si>
    <t>SASKIA</t>
  </si>
  <si>
    <t>DSD / FUE</t>
  </si>
  <si>
    <t xml:space="preserve">THE DTI CAMPUS                     </t>
  </si>
  <si>
    <t>MS KAGISO MOTLABI</t>
  </si>
  <si>
    <t>Kagiso</t>
  </si>
  <si>
    <t>SAMPLE GOWN MASK</t>
  </si>
  <si>
    <t>ELLIS</t>
  </si>
  <si>
    <t>ELLISRAS</t>
  </si>
  <si>
    <t xml:space="preserve">FRASER ALEXANDER                   </t>
  </si>
  <si>
    <t xml:space="preserve">NETCARE PHOLOSO HOSPITAL           </t>
  </si>
  <si>
    <t>ANEL JANSEN VAN VUUREN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</si>
</sst>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22"/>
  <sheetViews>
    <sheetView tabSelected="1" workbookViewId="0">
      <selection activeCell="A123" sqref="A123:XFD127"/>
    </sheetView>
  </sheetViews>
  <sheetFormatPr defaultRowHeight="15" x14ac:dyDescent="0.25"/>
  <cols>
    <col min="1" max="1" width="7.1406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425781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4.710937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28515625" bestFit="1" customWidth="1"/>
    <col min="15" max="15" width="4.85546875" bestFit="1" customWidth="1"/>
    <col min="16" max="16" width="27.710937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6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7" bestFit="1" customWidth="1"/>
    <col min="62" max="62" width="7.28515625" bestFit="1" customWidth="1"/>
    <col min="63" max="63" width="7" bestFit="1" customWidth="1"/>
    <col min="64" max="64" width="10" bestFit="1" customWidth="1"/>
    <col min="65" max="65" width="9" bestFit="1" customWidth="1"/>
    <col min="66" max="66" width="10" bestFit="1" customWidth="1"/>
    <col min="68" max="68" width="73.42578125" bestFit="1" customWidth="1"/>
    <col min="69" max="69" width="30.5703125" bestFit="1" customWidth="1"/>
    <col min="70" max="70" width="26.5703125" bestFit="1" customWidth="1"/>
    <col min="71" max="71" width="10.7109375" bestFit="1" customWidth="1"/>
    <col min="72" max="72" width="9.7109375" bestFit="1" customWidth="1"/>
    <col min="73" max="73" width="32.710937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9.5703125" bestFit="1" customWidth="1"/>
    <col min="79" max="79" width="39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3.710937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239</v>
      </c>
      <c r="B2" t="s">
        <v>240</v>
      </c>
      <c r="C2" t="s">
        <v>72</v>
      </c>
      <c r="E2" t="str">
        <f>"009939929500"</f>
        <v>009939929500</v>
      </c>
      <c r="F2" s="2">
        <v>43955</v>
      </c>
      <c r="G2">
        <v>202011</v>
      </c>
      <c r="H2" t="s">
        <v>91</v>
      </c>
      <c r="I2" t="s">
        <v>92</v>
      </c>
      <c r="J2" t="s">
        <v>236</v>
      </c>
      <c r="K2" t="s">
        <v>75</v>
      </c>
      <c r="L2" t="s">
        <v>136</v>
      </c>
      <c r="M2" t="s">
        <v>137</v>
      </c>
      <c r="N2" t="s">
        <v>241</v>
      </c>
      <c r="O2" t="s">
        <v>103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7.62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</v>
      </c>
      <c r="BI2">
        <v>21.6</v>
      </c>
      <c r="BJ2">
        <v>20.100000000000001</v>
      </c>
      <c r="BK2">
        <v>22</v>
      </c>
      <c r="BL2">
        <v>88.86</v>
      </c>
      <c r="BM2">
        <v>13.33</v>
      </c>
      <c r="BN2">
        <v>102.19</v>
      </c>
      <c r="BO2">
        <v>102.19</v>
      </c>
      <c r="BQ2" t="s">
        <v>242</v>
      </c>
      <c r="BR2" t="s">
        <v>243</v>
      </c>
      <c r="BS2" s="2">
        <v>43957</v>
      </c>
      <c r="BT2" s="3">
        <v>0.53125</v>
      </c>
      <c r="BU2" t="s">
        <v>200</v>
      </c>
      <c r="BV2" t="s">
        <v>81</v>
      </c>
      <c r="BW2" t="s">
        <v>93</v>
      </c>
      <c r="BX2" t="s">
        <v>164</v>
      </c>
      <c r="BY2">
        <v>100436.88</v>
      </c>
      <c r="CC2" t="s">
        <v>137</v>
      </c>
      <c r="CD2">
        <v>6500</v>
      </c>
      <c r="CE2" t="s">
        <v>80</v>
      </c>
      <c r="CF2" s="2">
        <v>43959</v>
      </c>
      <c r="CI2">
        <v>0</v>
      </c>
      <c r="CJ2">
        <v>0</v>
      </c>
      <c r="CK2" t="s">
        <v>212</v>
      </c>
      <c r="CL2" t="s">
        <v>81</v>
      </c>
    </row>
    <row r="3" spans="1:92" x14ac:dyDescent="0.25">
      <c r="A3" t="s">
        <v>239</v>
      </c>
      <c r="B3" t="s">
        <v>240</v>
      </c>
      <c r="C3" t="s">
        <v>72</v>
      </c>
      <c r="E3" t="str">
        <f>"009939976829"</f>
        <v>009939976829</v>
      </c>
      <c r="F3" s="2">
        <v>43955</v>
      </c>
      <c r="G3">
        <v>202011</v>
      </c>
      <c r="H3" t="s">
        <v>82</v>
      </c>
      <c r="I3" t="s">
        <v>83</v>
      </c>
      <c r="J3" t="s">
        <v>236</v>
      </c>
      <c r="K3" t="s">
        <v>75</v>
      </c>
      <c r="L3" t="s">
        <v>105</v>
      </c>
      <c r="M3" t="s">
        <v>106</v>
      </c>
      <c r="N3" t="s">
        <v>244</v>
      </c>
      <c r="O3" t="s">
        <v>103</v>
      </c>
      <c r="P3" t="str">
        <f>"11912270 FM                   "</f>
        <v xml:space="preserve">11912270 FM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9.31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12.9</v>
      </c>
      <c r="BJ3">
        <v>16.600000000000001</v>
      </c>
      <c r="BK3">
        <v>17</v>
      </c>
      <c r="BL3">
        <v>107.36</v>
      </c>
      <c r="BM3">
        <v>16.100000000000001</v>
      </c>
      <c r="BN3">
        <v>123.46</v>
      </c>
      <c r="BO3">
        <v>123.46</v>
      </c>
      <c r="BR3" t="s">
        <v>245</v>
      </c>
      <c r="BS3" s="2">
        <v>43959</v>
      </c>
      <c r="BT3" s="3">
        <v>0.63541666666666663</v>
      </c>
      <c r="BU3" t="s">
        <v>246</v>
      </c>
      <c r="BV3" t="s">
        <v>81</v>
      </c>
      <c r="BW3" t="s">
        <v>100</v>
      </c>
      <c r="BX3" t="s">
        <v>155</v>
      </c>
      <c r="BY3">
        <v>104579.01</v>
      </c>
      <c r="CC3" t="s">
        <v>106</v>
      </c>
      <c r="CD3">
        <v>2000</v>
      </c>
      <c r="CE3" t="s">
        <v>152</v>
      </c>
      <c r="CF3" s="2">
        <v>43960</v>
      </c>
      <c r="CI3">
        <v>2</v>
      </c>
      <c r="CJ3">
        <v>4</v>
      </c>
      <c r="CK3" t="s">
        <v>122</v>
      </c>
      <c r="CL3" t="s">
        <v>81</v>
      </c>
    </row>
    <row r="4" spans="1:92" x14ac:dyDescent="0.25">
      <c r="A4" t="s">
        <v>239</v>
      </c>
      <c r="B4" t="s">
        <v>240</v>
      </c>
      <c r="C4" t="s">
        <v>72</v>
      </c>
      <c r="E4" t="str">
        <f>"080002572186"</f>
        <v>080002572186</v>
      </c>
      <c r="F4" s="2">
        <v>43957</v>
      </c>
      <c r="G4">
        <v>202011</v>
      </c>
      <c r="H4" t="s">
        <v>223</v>
      </c>
      <c r="I4" t="s">
        <v>224</v>
      </c>
      <c r="J4" t="s">
        <v>247</v>
      </c>
      <c r="K4" t="s">
        <v>75</v>
      </c>
      <c r="L4" t="s">
        <v>123</v>
      </c>
      <c r="M4" t="s">
        <v>92</v>
      </c>
      <c r="N4" t="s">
        <v>248</v>
      </c>
      <c r="O4" t="s">
        <v>103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2.4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1</v>
      </c>
      <c r="BI4">
        <v>5.8</v>
      </c>
      <c r="BJ4">
        <v>18</v>
      </c>
      <c r="BK4">
        <v>18</v>
      </c>
      <c r="BL4">
        <v>127.52</v>
      </c>
      <c r="BM4">
        <v>19.13</v>
      </c>
      <c r="BN4">
        <v>146.65</v>
      </c>
      <c r="BO4">
        <v>146.65</v>
      </c>
      <c r="BP4" t="s">
        <v>249</v>
      </c>
      <c r="BQ4" t="s">
        <v>250</v>
      </c>
      <c r="BR4" t="s">
        <v>251</v>
      </c>
      <c r="BS4" s="2">
        <v>43964</v>
      </c>
      <c r="BT4" s="3">
        <v>0.55486111111111114</v>
      </c>
      <c r="BU4" t="s">
        <v>252</v>
      </c>
      <c r="BV4" t="s">
        <v>81</v>
      </c>
      <c r="BW4" t="s">
        <v>93</v>
      </c>
      <c r="BX4" t="s">
        <v>120</v>
      </c>
      <c r="BY4">
        <v>90090</v>
      </c>
      <c r="CC4" t="s">
        <v>92</v>
      </c>
      <c r="CD4">
        <v>7824</v>
      </c>
      <c r="CE4" t="s">
        <v>253</v>
      </c>
      <c r="CF4" s="2">
        <v>43965</v>
      </c>
      <c r="CI4">
        <v>3</v>
      </c>
      <c r="CJ4">
        <v>5</v>
      </c>
      <c r="CK4" t="s">
        <v>216</v>
      </c>
      <c r="CL4" t="s">
        <v>81</v>
      </c>
    </row>
    <row r="5" spans="1:92" x14ac:dyDescent="0.25">
      <c r="A5" t="s">
        <v>239</v>
      </c>
      <c r="B5" t="s">
        <v>240</v>
      </c>
      <c r="C5" t="s">
        <v>72</v>
      </c>
      <c r="E5" t="str">
        <f>"080002571647"</f>
        <v>080002571647</v>
      </c>
      <c r="F5" s="2">
        <v>43951</v>
      </c>
      <c r="G5">
        <v>202011</v>
      </c>
      <c r="H5" t="s">
        <v>131</v>
      </c>
      <c r="I5" t="s">
        <v>132</v>
      </c>
      <c r="J5" t="s">
        <v>254</v>
      </c>
      <c r="K5" t="s">
        <v>75</v>
      </c>
      <c r="L5" t="s">
        <v>82</v>
      </c>
      <c r="M5" t="s">
        <v>83</v>
      </c>
      <c r="N5" t="s">
        <v>255</v>
      </c>
      <c r="O5" t="s">
        <v>103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11.51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14.6</v>
      </c>
      <c r="BJ5">
        <v>23</v>
      </c>
      <c r="BK5">
        <v>23</v>
      </c>
      <c r="BL5">
        <v>131.58000000000001</v>
      </c>
      <c r="BM5">
        <v>19.739999999999998</v>
      </c>
      <c r="BN5">
        <v>151.32</v>
      </c>
      <c r="BO5">
        <v>151.32</v>
      </c>
      <c r="BQ5" t="s">
        <v>256</v>
      </c>
      <c r="BR5" t="s">
        <v>257</v>
      </c>
      <c r="BS5" s="2">
        <v>43962</v>
      </c>
      <c r="BT5" s="3">
        <v>0.40625</v>
      </c>
      <c r="BU5" t="s">
        <v>258</v>
      </c>
      <c r="BV5" t="s">
        <v>85</v>
      </c>
      <c r="BY5">
        <v>115193.21</v>
      </c>
      <c r="CA5" t="s">
        <v>84</v>
      </c>
      <c r="CC5" t="s">
        <v>83</v>
      </c>
      <c r="CD5">
        <v>6001</v>
      </c>
      <c r="CE5" t="s">
        <v>80</v>
      </c>
      <c r="CF5" s="2">
        <v>43963</v>
      </c>
      <c r="CI5">
        <v>2</v>
      </c>
      <c r="CJ5">
        <v>2</v>
      </c>
      <c r="CK5" t="s">
        <v>122</v>
      </c>
      <c r="CL5" t="s">
        <v>81</v>
      </c>
    </row>
    <row r="6" spans="1:92" x14ac:dyDescent="0.25">
      <c r="A6" t="s">
        <v>239</v>
      </c>
      <c r="B6" t="s">
        <v>240</v>
      </c>
      <c r="C6" t="s">
        <v>72</v>
      </c>
      <c r="E6" t="str">
        <f>"009939976830"</f>
        <v>009939976830</v>
      </c>
      <c r="F6" s="2">
        <v>43958</v>
      </c>
      <c r="G6">
        <v>202011</v>
      </c>
      <c r="H6" t="s">
        <v>82</v>
      </c>
      <c r="I6" t="s">
        <v>83</v>
      </c>
      <c r="J6" t="s">
        <v>259</v>
      </c>
      <c r="K6" t="s">
        <v>75</v>
      </c>
      <c r="L6" t="s">
        <v>131</v>
      </c>
      <c r="M6" t="s">
        <v>132</v>
      </c>
      <c r="N6" t="s">
        <v>260</v>
      </c>
      <c r="O6" t="s">
        <v>103</v>
      </c>
      <c r="P6" t="str">
        <f>"...                           "</f>
        <v xml:space="preserve">...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3.7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2</v>
      </c>
      <c r="BI6">
        <v>27</v>
      </c>
      <c r="BJ6">
        <v>41.3</v>
      </c>
      <c r="BK6">
        <v>42</v>
      </c>
      <c r="BL6">
        <v>193.5</v>
      </c>
      <c r="BM6">
        <v>29.03</v>
      </c>
      <c r="BN6">
        <v>222.53</v>
      </c>
      <c r="BO6">
        <v>222.53</v>
      </c>
      <c r="BQ6" t="s">
        <v>261</v>
      </c>
      <c r="BR6" t="s">
        <v>262</v>
      </c>
      <c r="BS6" s="2">
        <v>43963</v>
      </c>
      <c r="BT6" s="3">
        <v>0.47916666666666669</v>
      </c>
      <c r="BU6" t="s">
        <v>263</v>
      </c>
      <c r="BV6" t="s">
        <v>81</v>
      </c>
      <c r="BW6" t="s">
        <v>100</v>
      </c>
      <c r="BX6" t="s">
        <v>155</v>
      </c>
      <c r="BY6">
        <v>103200</v>
      </c>
      <c r="CA6" t="s">
        <v>228</v>
      </c>
      <c r="CC6" t="s">
        <v>132</v>
      </c>
      <c r="CD6">
        <v>1682</v>
      </c>
      <c r="CE6" t="s">
        <v>226</v>
      </c>
      <c r="CF6" s="2">
        <v>43964</v>
      </c>
      <c r="CI6">
        <v>2</v>
      </c>
      <c r="CJ6">
        <v>3</v>
      </c>
      <c r="CK6" t="s">
        <v>122</v>
      </c>
      <c r="CL6" t="s">
        <v>81</v>
      </c>
    </row>
    <row r="7" spans="1:92" x14ac:dyDescent="0.25">
      <c r="A7" t="s">
        <v>239</v>
      </c>
      <c r="B7" t="s">
        <v>240</v>
      </c>
      <c r="C7" t="s">
        <v>72</v>
      </c>
      <c r="E7" t="str">
        <f>"009939951397"</f>
        <v>009939951397</v>
      </c>
      <c r="F7" s="2">
        <v>43958</v>
      </c>
      <c r="G7">
        <v>202011</v>
      </c>
      <c r="H7" t="s">
        <v>73</v>
      </c>
      <c r="I7" t="s">
        <v>74</v>
      </c>
      <c r="J7" t="s">
        <v>264</v>
      </c>
      <c r="K7" t="s">
        <v>75</v>
      </c>
      <c r="L7" t="s">
        <v>94</v>
      </c>
      <c r="M7" t="s">
        <v>95</v>
      </c>
      <c r="N7" t="s">
        <v>265</v>
      </c>
      <c r="O7" t="s">
        <v>78</v>
      </c>
      <c r="P7" t="str">
        <f>"NA                            "</f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0.84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42.71</v>
      </c>
      <c r="BM7">
        <v>6.41</v>
      </c>
      <c r="BN7">
        <v>49.12</v>
      </c>
      <c r="BO7">
        <v>49.12</v>
      </c>
      <c r="BQ7" t="s">
        <v>266</v>
      </c>
      <c r="BR7" t="s">
        <v>208</v>
      </c>
      <c r="BS7" s="2">
        <v>43962</v>
      </c>
      <c r="BT7" s="3">
        <v>0.55763888888888891</v>
      </c>
      <c r="BU7" t="s">
        <v>267</v>
      </c>
      <c r="BV7" t="s">
        <v>81</v>
      </c>
      <c r="BW7" t="s">
        <v>100</v>
      </c>
      <c r="BX7" t="s">
        <v>144</v>
      </c>
      <c r="BY7">
        <v>1200</v>
      </c>
      <c r="BZ7" t="s">
        <v>27</v>
      </c>
      <c r="CA7" t="s">
        <v>187</v>
      </c>
      <c r="CC7" t="s">
        <v>95</v>
      </c>
      <c r="CD7">
        <v>4000</v>
      </c>
      <c r="CE7" t="s">
        <v>80</v>
      </c>
      <c r="CF7" s="2">
        <v>43963</v>
      </c>
      <c r="CI7">
        <v>1</v>
      </c>
      <c r="CJ7">
        <v>2</v>
      </c>
      <c r="CK7">
        <v>21</v>
      </c>
      <c r="CL7" t="s">
        <v>81</v>
      </c>
    </row>
    <row r="8" spans="1:92" x14ac:dyDescent="0.25">
      <c r="A8" t="s">
        <v>239</v>
      </c>
      <c r="B8" t="s">
        <v>240</v>
      </c>
      <c r="C8" t="s">
        <v>72</v>
      </c>
      <c r="E8" t="str">
        <f>"009940090638"</f>
        <v>009940090638</v>
      </c>
      <c r="F8" s="2">
        <v>43958</v>
      </c>
      <c r="G8">
        <v>202011</v>
      </c>
      <c r="H8" t="s">
        <v>105</v>
      </c>
      <c r="I8" t="s">
        <v>106</v>
      </c>
      <c r="J8" t="s">
        <v>268</v>
      </c>
      <c r="K8" t="s">
        <v>75</v>
      </c>
      <c r="L8" t="s">
        <v>91</v>
      </c>
      <c r="M8" t="s">
        <v>92</v>
      </c>
      <c r="N8" t="s">
        <v>269</v>
      </c>
      <c r="O8" t="s">
        <v>78</v>
      </c>
      <c r="P8" t="str">
        <f>"11004530FN 460040             "</f>
        <v xml:space="preserve">11004530FN 460040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0.84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42.71</v>
      </c>
      <c r="BM8">
        <v>6.41</v>
      </c>
      <c r="BN8">
        <v>49.12</v>
      </c>
      <c r="BO8">
        <v>49.12</v>
      </c>
      <c r="BQ8" t="s">
        <v>270</v>
      </c>
      <c r="BR8" t="s">
        <v>271</v>
      </c>
      <c r="BS8" s="2">
        <v>43959</v>
      </c>
      <c r="BT8" s="3">
        <v>0.4777777777777778</v>
      </c>
      <c r="BU8" t="s">
        <v>272</v>
      </c>
      <c r="BV8" t="s">
        <v>81</v>
      </c>
      <c r="BW8" t="s">
        <v>93</v>
      </c>
      <c r="BX8" t="s">
        <v>135</v>
      </c>
      <c r="BY8">
        <v>1200</v>
      </c>
      <c r="BZ8" t="s">
        <v>27</v>
      </c>
      <c r="CA8" t="s">
        <v>129</v>
      </c>
      <c r="CC8" t="s">
        <v>92</v>
      </c>
      <c r="CD8">
        <v>7460</v>
      </c>
      <c r="CE8" t="s">
        <v>80</v>
      </c>
      <c r="CF8" s="2">
        <v>43962</v>
      </c>
      <c r="CI8">
        <v>1</v>
      </c>
      <c r="CJ8">
        <v>1</v>
      </c>
      <c r="CK8">
        <v>21</v>
      </c>
      <c r="CL8" t="s">
        <v>81</v>
      </c>
    </row>
    <row r="9" spans="1:92" x14ac:dyDescent="0.25">
      <c r="A9" t="s">
        <v>239</v>
      </c>
      <c r="B9" t="s">
        <v>240</v>
      </c>
      <c r="C9" t="s">
        <v>72</v>
      </c>
      <c r="E9" t="str">
        <f>"009940090640"</f>
        <v>009940090640</v>
      </c>
      <c r="F9" s="2">
        <v>43958</v>
      </c>
      <c r="G9">
        <v>202011</v>
      </c>
      <c r="H9" t="s">
        <v>105</v>
      </c>
      <c r="I9" t="s">
        <v>106</v>
      </c>
      <c r="J9" t="s">
        <v>268</v>
      </c>
      <c r="K9" t="s">
        <v>75</v>
      </c>
      <c r="L9" t="s">
        <v>94</v>
      </c>
      <c r="M9" t="s">
        <v>95</v>
      </c>
      <c r="N9" t="s">
        <v>268</v>
      </c>
      <c r="O9" t="s">
        <v>78</v>
      </c>
      <c r="P9" t="str">
        <f>"11012500DI 402190             "</f>
        <v xml:space="preserve">11012500DI 402190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3.77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4</v>
      </c>
      <c r="BJ9">
        <v>8.8000000000000007</v>
      </c>
      <c r="BK9">
        <v>9</v>
      </c>
      <c r="BL9">
        <v>192.08</v>
      </c>
      <c r="BM9">
        <v>28.81</v>
      </c>
      <c r="BN9">
        <v>220.89</v>
      </c>
      <c r="BO9">
        <v>220.89</v>
      </c>
      <c r="BQ9" t="s">
        <v>273</v>
      </c>
      <c r="BR9" t="s">
        <v>274</v>
      </c>
      <c r="BS9" s="2">
        <v>43962</v>
      </c>
      <c r="BT9" s="3">
        <v>0.55763888888888891</v>
      </c>
      <c r="BU9" t="s">
        <v>267</v>
      </c>
      <c r="BV9" t="s">
        <v>81</v>
      </c>
      <c r="BW9" t="s">
        <v>100</v>
      </c>
      <c r="BX9" t="s">
        <v>144</v>
      </c>
      <c r="BY9">
        <v>43801.45</v>
      </c>
      <c r="BZ9" t="s">
        <v>27</v>
      </c>
      <c r="CA9" t="s">
        <v>187</v>
      </c>
      <c r="CC9" t="s">
        <v>95</v>
      </c>
      <c r="CD9">
        <v>4000</v>
      </c>
      <c r="CE9" t="s">
        <v>80</v>
      </c>
      <c r="CF9" s="2">
        <v>43963</v>
      </c>
      <c r="CI9">
        <v>1</v>
      </c>
      <c r="CJ9">
        <v>2</v>
      </c>
      <c r="CK9">
        <v>21</v>
      </c>
      <c r="CL9" t="s">
        <v>81</v>
      </c>
    </row>
    <row r="10" spans="1:92" x14ac:dyDescent="0.25">
      <c r="A10" t="s">
        <v>239</v>
      </c>
      <c r="B10" t="s">
        <v>240</v>
      </c>
      <c r="C10" t="s">
        <v>72</v>
      </c>
      <c r="E10" t="str">
        <f>"009940073265"</f>
        <v>009940073265</v>
      </c>
      <c r="F10" s="2">
        <v>43957</v>
      </c>
      <c r="G10">
        <v>202011</v>
      </c>
      <c r="H10" t="s">
        <v>91</v>
      </c>
      <c r="I10" t="s">
        <v>92</v>
      </c>
      <c r="J10" t="s">
        <v>236</v>
      </c>
      <c r="K10" t="s">
        <v>75</v>
      </c>
      <c r="L10" t="s">
        <v>275</v>
      </c>
      <c r="M10" t="s">
        <v>276</v>
      </c>
      <c r="N10" t="s">
        <v>277</v>
      </c>
      <c r="O10" t="s">
        <v>78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1.62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0.4</v>
      </c>
      <c r="BJ10">
        <v>0.8</v>
      </c>
      <c r="BK10">
        <v>1</v>
      </c>
      <c r="BL10">
        <v>82.74</v>
      </c>
      <c r="BM10">
        <v>12.41</v>
      </c>
      <c r="BN10">
        <v>95.15</v>
      </c>
      <c r="BO10">
        <v>95.15</v>
      </c>
      <c r="BQ10" t="s">
        <v>278</v>
      </c>
      <c r="BR10" t="s">
        <v>250</v>
      </c>
      <c r="BS10" s="2">
        <v>43958</v>
      </c>
      <c r="BT10" s="3">
        <v>0.5</v>
      </c>
      <c r="BU10" t="s">
        <v>279</v>
      </c>
      <c r="BV10" t="s">
        <v>85</v>
      </c>
      <c r="BY10">
        <v>4022.32</v>
      </c>
      <c r="BZ10" t="s">
        <v>27</v>
      </c>
      <c r="CC10" t="s">
        <v>276</v>
      </c>
      <c r="CD10">
        <v>6571</v>
      </c>
      <c r="CE10" t="s">
        <v>80</v>
      </c>
      <c r="CI10">
        <v>1</v>
      </c>
      <c r="CJ10">
        <v>1</v>
      </c>
      <c r="CK10">
        <v>23</v>
      </c>
      <c r="CL10" t="s">
        <v>81</v>
      </c>
    </row>
    <row r="11" spans="1:92" x14ac:dyDescent="0.25">
      <c r="A11" t="s">
        <v>239</v>
      </c>
      <c r="B11" t="s">
        <v>240</v>
      </c>
      <c r="C11" t="s">
        <v>72</v>
      </c>
      <c r="E11" t="str">
        <f>"009940090636"</f>
        <v>009940090636</v>
      </c>
      <c r="F11" s="2">
        <v>43958</v>
      </c>
      <c r="G11">
        <v>202011</v>
      </c>
      <c r="H11" t="s">
        <v>105</v>
      </c>
      <c r="I11" t="s">
        <v>106</v>
      </c>
      <c r="J11" t="s">
        <v>268</v>
      </c>
      <c r="K11" t="s">
        <v>75</v>
      </c>
      <c r="L11" t="s">
        <v>94</v>
      </c>
      <c r="M11" t="s">
        <v>95</v>
      </c>
      <c r="N11" t="s">
        <v>280</v>
      </c>
      <c r="O11" t="s">
        <v>78</v>
      </c>
      <c r="P11" t="str">
        <f>"11016559PC                    "</f>
        <v xml:space="preserve">11016559PC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1.88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1.7</v>
      </c>
      <c r="BJ11">
        <v>4.0999999999999996</v>
      </c>
      <c r="BK11">
        <v>4.5</v>
      </c>
      <c r="BL11">
        <v>96.05</v>
      </c>
      <c r="BM11">
        <v>14.41</v>
      </c>
      <c r="BN11">
        <v>110.46</v>
      </c>
      <c r="BO11">
        <v>110.46</v>
      </c>
      <c r="BQ11" t="s">
        <v>281</v>
      </c>
      <c r="BR11" t="s">
        <v>282</v>
      </c>
      <c r="BS11" s="2">
        <v>43959</v>
      </c>
      <c r="BT11" s="3">
        <v>0.47083333333333338</v>
      </c>
      <c r="BU11" t="s">
        <v>283</v>
      </c>
      <c r="BV11" t="s">
        <v>81</v>
      </c>
      <c r="BW11" t="s">
        <v>100</v>
      </c>
      <c r="BX11" t="s">
        <v>144</v>
      </c>
      <c r="BY11">
        <v>20473.2</v>
      </c>
      <c r="BZ11" t="s">
        <v>27</v>
      </c>
      <c r="CC11" t="s">
        <v>95</v>
      </c>
      <c r="CD11">
        <v>4000</v>
      </c>
      <c r="CE11" t="s">
        <v>80</v>
      </c>
      <c r="CF11" s="2">
        <v>43962</v>
      </c>
      <c r="CI11">
        <v>1</v>
      </c>
      <c r="CJ11">
        <v>1</v>
      </c>
      <c r="CK11">
        <v>21</v>
      </c>
      <c r="CL11" t="s">
        <v>81</v>
      </c>
    </row>
    <row r="12" spans="1:92" x14ac:dyDescent="0.25">
      <c r="A12" t="s">
        <v>239</v>
      </c>
      <c r="B12" t="s">
        <v>240</v>
      </c>
      <c r="C12" t="s">
        <v>72</v>
      </c>
      <c r="E12" t="str">
        <f>"009939929499"</f>
        <v>009939929499</v>
      </c>
      <c r="F12" s="2">
        <v>43955</v>
      </c>
      <c r="G12">
        <v>202011</v>
      </c>
      <c r="H12" t="s">
        <v>91</v>
      </c>
      <c r="I12" t="s">
        <v>92</v>
      </c>
      <c r="J12" t="s">
        <v>236</v>
      </c>
      <c r="K12" t="s">
        <v>75</v>
      </c>
      <c r="L12" t="s">
        <v>73</v>
      </c>
      <c r="M12" t="s">
        <v>74</v>
      </c>
      <c r="N12" t="s">
        <v>284</v>
      </c>
      <c r="O12" t="s">
        <v>78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10.46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5</v>
      </c>
      <c r="BJ12">
        <v>4.3</v>
      </c>
      <c r="BK12">
        <v>5</v>
      </c>
      <c r="BL12">
        <v>115.09</v>
      </c>
      <c r="BM12">
        <v>17.260000000000002</v>
      </c>
      <c r="BN12">
        <v>132.35</v>
      </c>
      <c r="BO12">
        <v>132.35</v>
      </c>
      <c r="BQ12" t="s">
        <v>285</v>
      </c>
      <c r="BR12" t="s">
        <v>286</v>
      </c>
      <c r="BS12" s="2">
        <v>43956</v>
      </c>
      <c r="BT12" s="3">
        <v>0.61458333333333337</v>
      </c>
      <c r="BU12" t="s">
        <v>287</v>
      </c>
      <c r="BV12" t="s">
        <v>81</v>
      </c>
      <c r="BW12" t="s">
        <v>100</v>
      </c>
      <c r="BX12" t="s">
        <v>141</v>
      </c>
      <c r="BY12">
        <v>21278.400000000001</v>
      </c>
      <c r="BZ12" t="s">
        <v>27</v>
      </c>
      <c r="CC12" t="s">
        <v>74</v>
      </c>
      <c r="CD12">
        <v>1609</v>
      </c>
      <c r="CE12" t="s">
        <v>80</v>
      </c>
      <c r="CF12" s="2">
        <v>43957</v>
      </c>
      <c r="CI12">
        <v>1</v>
      </c>
      <c r="CJ12">
        <v>1</v>
      </c>
      <c r="CK12">
        <v>21</v>
      </c>
      <c r="CL12" t="s">
        <v>81</v>
      </c>
    </row>
    <row r="13" spans="1:92" x14ac:dyDescent="0.25">
      <c r="A13" t="s">
        <v>239</v>
      </c>
      <c r="B13" t="s">
        <v>240</v>
      </c>
      <c r="C13" t="s">
        <v>72</v>
      </c>
      <c r="E13" t="str">
        <f>"009940090637"</f>
        <v>009940090637</v>
      </c>
      <c r="F13" s="2">
        <v>43958</v>
      </c>
      <c r="G13">
        <v>202011</v>
      </c>
      <c r="H13" t="s">
        <v>105</v>
      </c>
      <c r="I13" t="s">
        <v>106</v>
      </c>
      <c r="J13" t="s">
        <v>288</v>
      </c>
      <c r="K13" t="s">
        <v>75</v>
      </c>
      <c r="L13" t="s">
        <v>101</v>
      </c>
      <c r="M13" t="s">
        <v>102</v>
      </c>
      <c r="N13" t="s">
        <v>268</v>
      </c>
      <c r="O13" t="s">
        <v>78</v>
      </c>
      <c r="P13" t="str">
        <f>"11113848BS                    "</f>
        <v xml:space="preserve">11113848BS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0.84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42.71</v>
      </c>
      <c r="BM13">
        <v>6.41</v>
      </c>
      <c r="BN13">
        <v>49.12</v>
      </c>
      <c r="BO13">
        <v>49.12</v>
      </c>
      <c r="BQ13" t="s">
        <v>289</v>
      </c>
      <c r="BR13" t="s">
        <v>213</v>
      </c>
      <c r="BS13" s="2">
        <v>43959</v>
      </c>
      <c r="BT13" s="3">
        <v>0.41666666666666669</v>
      </c>
      <c r="BU13" t="s">
        <v>133</v>
      </c>
      <c r="BV13" t="s">
        <v>85</v>
      </c>
      <c r="BY13">
        <v>1200</v>
      </c>
      <c r="BZ13" t="s">
        <v>27</v>
      </c>
      <c r="CC13" t="s">
        <v>102</v>
      </c>
      <c r="CD13">
        <v>3610</v>
      </c>
      <c r="CE13" t="s">
        <v>80</v>
      </c>
      <c r="CF13" s="2">
        <v>43962</v>
      </c>
      <c r="CI13">
        <v>1</v>
      </c>
      <c r="CJ13">
        <v>1</v>
      </c>
      <c r="CK13">
        <v>21</v>
      </c>
      <c r="CL13" t="s">
        <v>81</v>
      </c>
    </row>
    <row r="14" spans="1:92" x14ac:dyDescent="0.25">
      <c r="A14" t="s">
        <v>239</v>
      </c>
      <c r="B14" t="s">
        <v>240</v>
      </c>
      <c r="C14" t="s">
        <v>72</v>
      </c>
      <c r="E14" t="str">
        <f>"009940090635"</f>
        <v>009940090635</v>
      </c>
      <c r="F14" s="2">
        <v>43958</v>
      </c>
      <c r="G14">
        <v>202011</v>
      </c>
      <c r="H14" t="s">
        <v>105</v>
      </c>
      <c r="I14" t="s">
        <v>106</v>
      </c>
      <c r="J14" t="s">
        <v>268</v>
      </c>
      <c r="K14" t="s">
        <v>75</v>
      </c>
      <c r="L14" t="s">
        <v>91</v>
      </c>
      <c r="M14" t="s">
        <v>92</v>
      </c>
      <c r="N14" t="s">
        <v>202</v>
      </c>
      <c r="O14" t="s">
        <v>78</v>
      </c>
      <c r="P14" t="str">
        <f>"11922270FM                    "</f>
        <v xml:space="preserve">11922270FM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0.84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42.71</v>
      </c>
      <c r="BM14">
        <v>6.41</v>
      </c>
      <c r="BN14">
        <v>49.12</v>
      </c>
      <c r="BO14">
        <v>49.12</v>
      </c>
      <c r="BQ14" t="s">
        <v>290</v>
      </c>
      <c r="BR14" t="s">
        <v>217</v>
      </c>
      <c r="BS14" s="2">
        <v>43959</v>
      </c>
      <c r="BT14" s="3">
        <v>0.4826388888888889</v>
      </c>
      <c r="BU14" t="s">
        <v>291</v>
      </c>
      <c r="BV14" t="s">
        <v>81</v>
      </c>
      <c r="BW14" t="s">
        <v>93</v>
      </c>
      <c r="BX14" t="s">
        <v>135</v>
      </c>
      <c r="BY14">
        <v>1200</v>
      </c>
      <c r="BZ14" t="s">
        <v>27</v>
      </c>
      <c r="CA14" t="s">
        <v>129</v>
      </c>
      <c r="CC14" t="s">
        <v>92</v>
      </c>
      <c r="CD14">
        <v>7460</v>
      </c>
      <c r="CE14" t="s">
        <v>80</v>
      </c>
      <c r="CF14" s="2">
        <v>43962</v>
      </c>
      <c r="CI14">
        <v>1</v>
      </c>
      <c r="CJ14">
        <v>1</v>
      </c>
      <c r="CK14">
        <v>21</v>
      </c>
      <c r="CL14" t="s">
        <v>81</v>
      </c>
    </row>
    <row r="15" spans="1:92" x14ac:dyDescent="0.25">
      <c r="A15" t="s">
        <v>239</v>
      </c>
      <c r="B15" t="s">
        <v>240</v>
      </c>
      <c r="C15" t="s">
        <v>72</v>
      </c>
      <c r="E15" t="str">
        <f>"009940073262"</f>
        <v>009940073262</v>
      </c>
      <c r="F15" s="2">
        <v>43956</v>
      </c>
      <c r="G15">
        <v>202011</v>
      </c>
      <c r="H15" t="s">
        <v>91</v>
      </c>
      <c r="I15" t="s">
        <v>92</v>
      </c>
      <c r="J15" t="s">
        <v>236</v>
      </c>
      <c r="K15" t="s">
        <v>75</v>
      </c>
      <c r="L15" t="s">
        <v>91</v>
      </c>
      <c r="M15" t="s">
        <v>92</v>
      </c>
      <c r="N15" t="s">
        <v>292</v>
      </c>
      <c r="O15" t="s">
        <v>78</v>
      </c>
      <c r="P15" t="str">
        <f>"NA                            "</f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3.27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1</v>
      </c>
      <c r="BI15">
        <v>0.6</v>
      </c>
      <c r="BJ15">
        <v>0.1</v>
      </c>
      <c r="BK15">
        <v>1</v>
      </c>
      <c r="BL15">
        <v>35.979999999999997</v>
      </c>
      <c r="BM15">
        <v>5.4</v>
      </c>
      <c r="BN15">
        <v>41.38</v>
      </c>
      <c r="BO15">
        <v>41.38</v>
      </c>
      <c r="BQ15" t="s">
        <v>293</v>
      </c>
      <c r="BR15" t="s">
        <v>250</v>
      </c>
      <c r="BS15" s="2">
        <v>43959</v>
      </c>
      <c r="BT15" s="3">
        <v>0.46527777777777773</v>
      </c>
      <c r="BU15" t="s">
        <v>294</v>
      </c>
      <c r="BV15" t="s">
        <v>81</v>
      </c>
      <c r="BW15" t="s">
        <v>93</v>
      </c>
      <c r="BX15" t="s">
        <v>135</v>
      </c>
      <c r="BY15">
        <v>506.66</v>
      </c>
      <c r="BZ15" t="s">
        <v>27</v>
      </c>
      <c r="CC15" t="s">
        <v>92</v>
      </c>
      <c r="CD15">
        <v>7925</v>
      </c>
      <c r="CE15" t="s">
        <v>231</v>
      </c>
      <c r="CF15" s="2">
        <v>43962</v>
      </c>
      <c r="CI15">
        <v>1</v>
      </c>
      <c r="CJ15">
        <v>3</v>
      </c>
      <c r="CK15">
        <v>22</v>
      </c>
      <c r="CL15" t="s">
        <v>81</v>
      </c>
    </row>
    <row r="16" spans="1:92" x14ac:dyDescent="0.25">
      <c r="A16" t="s">
        <v>239</v>
      </c>
      <c r="B16" t="s">
        <v>240</v>
      </c>
      <c r="C16" t="s">
        <v>72</v>
      </c>
      <c r="E16" t="str">
        <f>"009939929446"</f>
        <v>009939929446</v>
      </c>
      <c r="F16" s="2">
        <v>43956</v>
      </c>
      <c r="G16">
        <v>202011</v>
      </c>
      <c r="H16" t="s">
        <v>91</v>
      </c>
      <c r="I16" t="s">
        <v>92</v>
      </c>
      <c r="J16" t="s">
        <v>236</v>
      </c>
      <c r="K16" t="s">
        <v>75</v>
      </c>
      <c r="L16" t="s">
        <v>139</v>
      </c>
      <c r="M16" t="s">
        <v>140</v>
      </c>
      <c r="N16" t="s">
        <v>295</v>
      </c>
      <c r="O16" t="s">
        <v>78</v>
      </c>
      <c r="P16" t="str">
        <f>"ESSENTIAL SERVICES            "</f>
        <v xml:space="preserve">ESSENTIAL SERVICES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7.32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0.6</v>
      </c>
      <c r="BJ16">
        <v>2.2999999999999998</v>
      </c>
      <c r="BK16">
        <v>2.5</v>
      </c>
      <c r="BL16">
        <v>80.540000000000006</v>
      </c>
      <c r="BM16">
        <v>12.08</v>
      </c>
      <c r="BN16">
        <v>92.62</v>
      </c>
      <c r="BO16">
        <v>92.62</v>
      </c>
      <c r="BQ16" t="s">
        <v>296</v>
      </c>
      <c r="BR16" t="s">
        <v>297</v>
      </c>
      <c r="BS16" s="2">
        <v>43957</v>
      </c>
      <c r="BT16" s="3">
        <v>0.47430555555555554</v>
      </c>
      <c r="BU16" t="s">
        <v>298</v>
      </c>
      <c r="BV16" t="s">
        <v>85</v>
      </c>
      <c r="BY16">
        <v>11455.29</v>
      </c>
      <c r="BZ16" t="s">
        <v>27</v>
      </c>
      <c r="CA16" t="s">
        <v>160</v>
      </c>
      <c r="CC16" t="s">
        <v>140</v>
      </c>
      <c r="CD16">
        <v>7130</v>
      </c>
      <c r="CE16" t="s">
        <v>80</v>
      </c>
      <c r="CF16" s="2">
        <v>43958</v>
      </c>
      <c r="CI16">
        <v>1</v>
      </c>
      <c r="CJ16">
        <v>1</v>
      </c>
      <c r="CK16">
        <v>24</v>
      </c>
      <c r="CL16" t="s">
        <v>81</v>
      </c>
    </row>
    <row r="17" spans="1:90" x14ac:dyDescent="0.25">
      <c r="A17" t="s">
        <v>239</v>
      </c>
      <c r="B17" t="s">
        <v>240</v>
      </c>
      <c r="C17" t="s">
        <v>72</v>
      </c>
      <c r="E17" t="str">
        <f>"009940073261"</f>
        <v>009940073261</v>
      </c>
      <c r="F17" s="2">
        <v>43956</v>
      </c>
      <c r="G17">
        <v>202011</v>
      </c>
      <c r="H17" t="s">
        <v>91</v>
      </c>
      <c r="I17" t="s">
        <v>92</v>
      </c>
      <c r="J17" t="s">
        <v>236</v>
      </c>
      <c r="K17" t="s">
        <v>75</v>
      </c>
      <c r="L17" t="s">
        <v>158</v>
      </c>
      <c r="M17" t="s">
        <v>159</v>
      </c>
      <c r="N17" t="s">
        <v>299</v>
      </c>
      <c r="O17" t="s">
        <v>78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4.1900000000000004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0.8</v>
      </c>
      <c r="BJ17">
        <v>1.2</v>
      </c>
      <c r="BK17">
        <v>1.5</v>
      </c>
      <c r="BL17">
        <v>46.06</v>
      </c>
      <c r="BM17">
        <v>6.91</v>
      </c>
      <c r="BN17">
        <v>52.97</v>
      </c>
      <c r="BO17">
        <v>52.97</v>
      </c>
      <c r="BQ17" t="s">
        <v>300</v>
      </c>
      <c r="BR17" t="s">
        <v>250</v>
      </c>
      <c r="BS17" s="2">
        <v>43959</v>
      </c>
      <c r="BT17" s="3">
        <v>0.63402777777777775</v>
      </c>
      <c r="BU17" t="s">
        <v>301</v>
      </c>
      <c r="BV17" t="s">
        <v>81</v>
      </c>
      <c r="BW17" t="s">
        <v>100</v>
      </c>
      <c r="BX17" t="s">
        <v>144</v>
      </c>
      <c r="BY17">
        <v>5928.64</v>
      </c>
      <c r="BZ17" t="s">
        <v>27</v>
      </c>
      <c r="CA17" t="s">
        <v>150</v>
      </c>
      <c r="CC17" t="s">
        <v>159</v>
      </c>
      <c r="CD17">
        <v>4126</v>
      </c>
      <c r="CE17" t="s">
        <v>231</v>
      </c>
      <c r="CF17" s="2">
        <v>43962</v>
      </c>
      <c r="CI17">
        <v>1</v>
      </c>
      <c r="CJ17">
        <v>3</v>
      </c>
      <c r="CK17">
        <v>21</v>
      </c>
      <c r="CL17" t="s">
        <v>81</v>
      </c>
    </row>
    <row r="18" spans="1:90" x14ac:dyDescent="0.25">
      <c r="A18" t="s">
        <v>239</v>
      </c>
      <c r="B18" t="s">
        <v>240</v>
      </c>
      <c r="C18" t="s">
        <v>72</v>
      </c>
      <c r="E18" t="str">
        <f>"009939929445"</f>
        <v>009939929445</v>
      </c>
      <c r="F18" s="2">
        <v>43956</v>
      </c>
      <c r="G18">
        <v>202011</v>
      </c>
      <c r="H18" t="s">
        <v>91</v>
      </c>
      <c r="I18" t="s">
        <v>92</v>
      </c>
      <c r="J18" t="s">
        <v>236</v>
      </c>
      <c r="K18" t="s">
        <v>75</v>
      </c>
      <c r="L18" t="s">
        <v>91</v>
      </c>
      <c r="M18" t="s">
        <v>92</v>
      </c>
      <c r="N18" t="s">
        <v>302</v>
      </c>
      <c r="O18" t="s">
        <v>78</v>
      </c>
      <c r="P18" t="str">
        <f>"ESSENTIAL SERVICES            "</f>
        <v xml:space="preserve">ESSENTIAL SERVICES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3.27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0.3</v>
      </c>
      <c r="BJ18">
        <v>0.9</v>
      </c>
      <c r="BK18">
        <v>1</v>
      </c>
      <c r="BL18">
        <v>35.979999999999997</v>
      </c>
      <c r="BM18">
        <v>5.4</v>
      </c>
      <c r="BN18">
        <v>41.38</v>
      </c>
      <c r="BO18">
        <v>41.38</v>
      </c>
      <c r="BQ18" t="s">
        <v>303</v>
      </c>
      <c r="BR18" t="s">
        <v>297</v>
      </c>
      <c r="BS18" s="2">
        <v>43957</v>
      </c>
      <c r="BT18" s="3">
        <v>0.44513888888888892</v>
      </c>
      <c r="BU18" t="s">
        <v>304</v>
      </c>
      <c r="BV18" t="s">
        <v>85</v>
      </c>
      <c r="BY18">
        <v>4659.1099999999997</v>
      </c>
      <c r="BZ18" t="s">
        <v>27</v>
      </c>
      <c r="CA18" t="s">
        <v>125</v>
      </c>
      <c r="CC18" t="s">
        <v>92</v>
      </c>
      <c r="CD18">
        <v>7806</v>
      </c>
      <c r="CE18" t="s">
        <v>80</v>
      </c>
      <c r="CF18" s="2">
        <v>43958</v>
      </c>
      <c r="CI18">
        <v>1</v>
      </c>
      <c r="CJ18">
        <v>1</v>
      </c>
      <c r="CK18">
        <v>22</v>
      </c>
      <c r="CL18" t="s">
        <v>81</v>
      </c>
    </row>
    <row r="19" spans="1:90" x14ac:dyDescent="0.25">
      <c r="A19" t="s">
        <v>239</v>
      </c>
      <c r="B19" t="s">
        <v>240</v>
      </c>
      <c r="C19" t="s">
        <v>72</v>
      </c>
      <c r="E19" t="str">
        <f>"009939929464"</f>
        <v>009939929464</v>
      </c>
      <c r="F19" s="2">
        <v>43956</v>
      </c>
      <c r="G19">
        <v>202011</v>
      </c>
      <c r="H19" t="s">
        <v>91</v>
      </c>
      <c r="I19" t="s">
        <v>92</v>
      </c>
      <c r="J19" t="s">
        <v>236</v>
      </c>
      <c r="K19" t="s">
        <v>75</v>
      </c>
      <c r="L19" t="s">
        <v>76</v>
      </c>
      <c r="M19" t="s">
        <v>77</v>
      </c>
      <c r="N19" t="s">
        <v>305</v>
      </c>
      <c r="O19" t="s">
        <v>78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5.23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2.2999999999999998</v>
      </c>
      <c r="BJ19">
        <v>2.1</v>
      </c>
      <c r="BK19">
        <v>2.5</v>
      </c>
      <c r="BL19">
        <v>57.56</v>
      </c>
      <c r="BM19">
        <v>8.6300000000000008</v>
      </c>
      <c r="BN19">
        <v>66.19</v>
      </c>
      <c r="BO19">
        <v>66.19</v>
      </c>
      <c r="BQ19" t="s">
        <v>306</v>
      </c>
      <c r="BR19" t="s">
        <v>243</v>
      </c>
      <c r="BS19" s="2">
        <v>43957</v>
      </c>
      <c r="BT19" s="3">
        <v>0.54861111111111105</v>
      </c>
      <c r="BU19" t="s">
        <v>307</v>
      </c>
      <c r="BV19" t="s">
        <v>81</v>
      </c>
      <c r="BW19" t="s">
        <v>119</v>
      </c>
      <c r="BX19" t="s">
        <v>156</v>
      </c>
      <c r="BY19">
        <v>10409.64</v>
      </c>
      <c r="BZ19" t="s">
        <v>27</v>
      </c>
      <c r="CA19" t="s">
        <v>138</v>
      </c>
      <c r="CC19" t="s">
        <v>77</v>
      </c>
      <c r="CD19">
        <v>83</v>
      </c>
      <c r="CE19" t="s">
        <v>231</v>
      </c>
      <c r="CF19" s="2">
        <v>43958</v>
      </c>
      <c r="CI19">
        <v>1</v>
      </c>
      <c r="CJ19">
        <v>1</v>
      </c>
      <c r="CK19">
        <v>21</v>
      </c>
      <c r="CL19" t="s">
        <v>81</v>
      </c>
    </row>
    <row r="20" spans="1:90" x14ac:dyDescent="0.25">
      <c r="A20" t="s">
        <v>239</v>
      </c>
      <c r="B20" t="s">
        <v>240</v>
      </c>
      <c r="C20" t="s">
        <v>72</v>
      </c>
      <c r="E20" t="str">
        <f>"009939929463"</f>
        <v>009939929463</v>
      </c>
      <c r="F20" s="2">
        <v>43956</v>
      </c>
      <c r="G20">
        <v>202011</v>
      </c>
      <c r="H20" t="s">
        <v>91</v>
      </c>
      <c r="I20" t="s">
        <v>92</v>
      </c>
      <c r="J20" t="s">
        <v>236</v>
      </c>
      <c r="K20" t="s">
        <v>75</v>
      </c>
      <c r="L20" t="s">
        <v>91</v>
      </c>
      <c r="M20" t="s">
        <v>92</v>
      </c>
      <c r="N20" t="s">
        <v>308</v>
      </c>
      <c r="O20" t="s">
        <v>78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3.27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0.8</v>
      </c>
      <c r="BJ20">
        <v>0.2</v>
      </c>
      <c r="BK20">
        <v>1</v>
      </c>
      <c r="BL20">
        <v>35.979999999999997</v>
      </c>
      <c r="BM20">
        <v>5.4</v>
      </c>
      <c r="BN20">
        <v>41.38</v>
      </c>
      <c r="BO20">
        <v>41.38</v>
      </c>
      <c r="BQ20" t="s">
        <v>309</v>
      </c>
      <c r="BR20" t="s">
        <v>310</v>
      </c>
      <c r="BS20" t="s">
        <v>79</v>
      </c>
      <c r="BW20" t="s">
        <v>168</v>
      </c>
      <c r="BX20" t="s">
        <v>197</v>
      </c>
      <c r="BY20">
        <v>901.52</v>
      </c>
      <c r="BZ20" t="s">
        <v>27</v>
      </c>
      <c r="CC20" t="s">
        <v>92</v>
      </c>
      <c r="CD20">
        <v>7441</v>
      </c>
      <c r="CE20" t="s">
        <v>311</v>
      </c>
      <c r="CI20">
        <v>1</v>
      </c>
      <c r="CJ20" t="s">
        <v>79</v>
      </c>
      <c r="CK20">
        <v>22</v>
      </c>
      <c r="CL20" t="s">
        <v>81</v>
      </c>
    </row>
    <row r="21" spans="1:90" x14ac:dyDescent="0.25">
      <c r="A21" t="s">
        <v>239</v>
      </c>
      <c r="B21" t="s">
        <v>240</v>
      </c>
      <c r="C21" t="s">
        <v>72</v>
      </c>
      <c r="E21" t="str">
        <f>"019911022082"</f>
        <v>019911022082</v>
      </c>
      <c r="F21" s="2">
        <v>43959</v>
      </c>
      <c r="G21">
        <v>202011</v>
      </c>
      <c r="H21" t="s">
        <v>91</v>
      </c>
      <c r="I21" t="s">
        <v>92</v>
      </c>
      <c r="J21" t="s">
        <v>236</v>
      </c>
      <c r="K21" t="s">
        <v>75</v>
      </c>
      <c r="L21" t="s">
        <v>94</v>
      </c>
      <c r="M21" t="s">
        <v>95</v>
      </c>
      <c r="N21" t="s">
        <v>312</v>
      </c>
      <c r="O21" t="s">
        <v>78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2.09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3.7</v>
      </c>
      <c r="BJ21">
        <v>4.8</v>
      </c>
      <c r="BK21">
        <v>5</v>
      </c>
      <c r="BL21">
        <v>106.72</v>
      </c>
      <c r="BM21">
        <v>16.010000000000002</v>
      </c>
      <c r="BN21">
        <v>122.73</v>
      </c>
      <c r="BO21">
        <v>122.73</v>
      </c>
      <c r="BQ21" t="s">
        <v>313</v>
      </c>
      <c r="BR21" t="s">
        <v>297</v>
      </c>
      <c r="BS21" s="2">
        <v>43964</v>
      </c>
      <c r="BT21" s="3">
        <v>0.63958333333333328</v>
      </c>
      <c r="BU21" t="s">
        <v>314</v>
      </c>
      <c r="BV21" t="s">
        <v>81</v>
      </c>
      <c r="BW21" t="s">
        <v>86</v>
      </c>
      <c r="BX21" t="s">
        <v>96</v>
      </c>
      <c r="BY21">
        <v>24236.73</v>
      </c>
      <c r="BZ21" t="s">
        <v>27</v>
      </c>
      <c r="CA21" t="s">
        <v>182</v>
      </c>
      <c r="CC21" t="s">
        <v>95</v>
      </c>
      <c r="CD21">
        <v>4091</v>
      </c>
      <c r="CE21" t="s">
        <v>315</v>
      </c>
      <c r="CF21" s="2">
        <v>43966</v>
      </c>
      <c r="CI21">
        <v>1</v>
      </c>
      <c r="CJ21">
        <v>3</v>
      </c>
      <c r="CK21">
        <v>21</v>
      </c>
      <c r="CL21" t="s">
        <v>81</v>
      </c>
    </row>
    <row r="22" spans="1:90" x14ac:dyDescent="0.25">
      <c r="A22" t="s">
        <v>239</v>
      </c>
      <c r="B22" t="s">
        <v>240</v>
      </c>
      <c r="C22" t="s">
        <v>72</v>
      </c>
      <c r="E22" t="str">
        <f>"009939934368"</f>
        <v>009939934368</v>
      </c>
      <c r="F22" s="2">
        <v>43959</v>
      </c>
      <c r="G22">
        <v>202011</v>
      </c>
      <c r="H22" t="s">
        <v>148</v>
      </c>
      <c r="I22" t="s">
        <v>149</v>
      </c>
      <c r="J22" t="s">
        <v>316</v>
      </c>
      <c r="K22" t="s">
        <v>75</v>
      </c>
      <c r="L22" t="s">
        <v>105</v>
      </c>
      <c r="M22" t="s">
        <v>106</v>
      </c>
      <c r="N22" t="s">
        <v>317</v>
      </c>
      <c r="O22" t="s">
        <v>78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0.84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42.71</v>
      </c>
      <c r="BM22">
        <v>6.41</v>
      </c>
      <c r="BN22">
        <v>49.12</v>
      </c>
      <c r="BO22">
        <v>49.12</v>
      </c>
      <c r="BS22" s="2">
        <v>43962</v>
      </c>
      <c r="BT22" s="3">
        <v>0.35902777777777778</v>
      </c>
      <c r="BU22" t="s">
        <v>318</v>
      </c>
      <c r="BV22" t="s">
        <v>85</v>
      </c>
      <c r="BY22">
        <v>1200</v>
      </c>
      <c r="BZ22" t="s">
        <v>27</v>
      </c>
      <c r="CA22" t="s">
        <v>211</v>
      </c>
      <c r="CC22" t="s">
        <v>106</v>
      </c>
      <c r="CD22">
        <v>2001</v>
      </c>
      <c r="CE22" t="s">
        <v>80</v>
      </c>
      <c r="CF22" s="2">
        <v>43963</v>
      </c>
      <c r="CI22">
        <v>1</v>
      </c>
      <c r="CJ22">
        <v>1</v>
      </c>
      <c r="CK22">
        <v>21</v>
      </c>
      <c r="CL22" t="s">
        <v>81</v>
      </c>
    </row>
    <row r="23" spans="1:90" x14ac:dyDescent="0.25">
      <c r="A23" t="s">
        <v>239</v>
      </c>
      <c r="B23" t="s">
        <v>240</v>
      </c>
      <c r="C23" t="s">
        <v>72</v>
      </c>
      <c r="E23" t="str">
        <f>"080002572314"</f>
        <v>080002572314</v>
      </c>
      <c r="F23" s="2">
        <v>43956</v>
      </c>
      <c r="G23">
        <v>202011</v>
      </c>
      <c r="H23" t="s">
        <v>105</v>
      </c>
      <c r="I23" t="s">
        <v>106</v>
      </c>
      <c r="J23" t="s">
        <v>319</v>
      </c>
      <c r="K23" t="s">
        <v>75</v>
      </c>
      <c r="L23" t="s">
        <v>101</v>
      </c>
      <c r="M23" t="s">
        <v>102</v>
      </c>
      <c r="N23" t="s">
        <v>320</v>
      </c>
      <c r="O23" t="s">
        <v>103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5.89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2.2999999999999998</v>
      </c>
      <c r="BJ23">
        <v>3.3</v>
      </c>
      <c r="BK23">
        <v>4</v>
      </c>
      <c r="BL23">
        <v>69.77</v>
      </c>
      <c r="BM23">
        <v>10.47</v>
      </c>
      <c r="BN23">
        <v>80.239999999999995</v>
      </c>
      <c r="BO23">
        <v>80.239999999999995</v>
      </c>
      <c r="BP23" t="s">
        <v>321</v>
      </c>
      <c r="BQ23" t="s">
        <v>322</v>
      </c>
      <c r="BR23" t="s">
        <v>323</v>
      </c>
      <c r="BS23" s="2">
        <v>43959</v>
      </c>
      <c r="BT23" s="3">
        <v>0.4375</v>
      </c>
      <c r="BU23" t="s">
        <v>133</v>
      </c>
      <c r="BV23" t="s">
        <v>81</v>
      </c>
      <c r="BW23" t="s">
        <v>100</v>
      </c>
      <c r="BX23" t="s">
        <v>144</v>
      </c>
      <c r="BY23">
        <v>16723.759999999998</v>
      </c>
      <c r="CC23" t="s">
        <v>102</v>
      </c>
      <c r="CD23">
        <v>3610</v>
      </c>
      <c r="CE23" t="s">
        <v>196</v>
      </c>
      <c r="CF23" s="2">
        <v>43962</v>
      </c>
      <c r="CI23">
        <v>1</v>
      </c>
      <c r="CJ23">
        <v>3</v>
      </c>
      <c r="CK23" t="s">
        <v>104</v>
      </c>
      <c r="CL23" t="s">
        <v>81</v>
      </c>
    </row>
    <row r="24" spans="1:90" x14ac:dyDescent="0.25">
      <c r="A24" t="s">
        <v>239</v>
      </c>
      <c r="B24" t="s">
        <v>240</v>
      </c>
      <c r="C24" t="s">
        <v>72</v>
      </c>
      <c r="E24" t="str">
        <f>"009940073264"</f>
        <v>009940073264</v>
      </c>
      <c r="F24" s="2">
        <v>43957</v>
      </c>
      <c r="G24">
        <v>202011</v>
      </c>
      <c r="H24" t="s">
        <v>91</v>
      </c>
      <c r="I24" t="s">
        <v>92</v>
      </c>
      <c r="J24" t="s">
        <v>236</v>
      </c>
      <c r="K24" t="s">
        <v>75</v>
      </c>
      <c r="L24" t="s">
        <v>123</v>
      </c>
      <c r="M24" t="s">
        <v>92</v>
      </c>
      <c r="N24" t="s">
        <v>324</v>
      </c>
      <c r="O24" t="s">
        <v>103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1.18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1</v>
      </c>
      <c r="BJ24">
        <v>1.7</v>
      </c>
      <c r="BK24">
        <v>2</v>
      </c>
      <c r="BL24">
        <v>65.06</v>
      </c>
      <c r="BM24">
        <v>9.76</v>
      </c>
      <c r="BN24">
        <v>74.819999999999993</v>
      </c>
      <c r="BO24">
        <v>74.819999999999993</v>
      </c>
      <c r="BQ24" t="s">
        <v>325</v>
      </c>
      <c r="BR24" t="s">
        <v>250</v>
      </c>
      <c r="BS24" s="2">
        <v>43959</v>
      </c>
      <c r="BT24" s="3">
        <v>0.42222222222222222</v>
      </c>
      <c r="BU24" t="s">
        <v>326</v>
      </c>
      <c r="BV24" t="s">
        <v>81</v>
      </c>
      <c r="BW24" t="s">
        <v>93</v>
      </c>
      <c r="BX24" t="s">
        <v>135</v>
      </c>
      <c r="BY24">
        <v>8291.92</v>
      </c>
      <c r="CA24" t="s">
        <v>126</v>
      </c>
      <c r="CC24" t="s">
        <v>92</v>
      </c>
      <c r="CD24">
        <v>7530</v>
      </c>
      <c r="CE24" t="s">
        <v>80</v>
      </c>
      <c r="CF24" s="2">
        <v>43962</v>
      </c>
      <c r="CI24">
        <v>1</v>
      </c>
      <c r="CJ24">
        <v>2</v>
      </c>
      <c r="CK24" t="s">
        <v>121</v>
      </c>
      <c r="CL24" t="s">
        <v>81</v>
      </c>
    </row>
    <row r="25" spans="1:90" x14ac:dyDescent="0.25">
      <c r="A25" t="s">
        <v>239</v>
      </c>
      <c r="B25" t="s">
        <v>240</v>
      </c>
      <c r="C25" t="s">
        <v>72</v>
      </c>
      <c r="E25" t="str">
        <f>"009939929447"</f>
        <v>009939929447</v>
      </c>
      <c r="F25" s="2">
        <v>43955</v>
      </c>
      <c r="G25">
        <v>202011</v>
      </c>
      <c r="H25" t="s">
        <v>91</v>
      </c>
      <c r="I25" t="s">
        <v>92</v>
      </c>
      <c r="J25" t="s">
        <v>236</v>
      </c>
      <c r="K25" t="s">
        <v>75</v>
      </c>
      <c r="L25" t="s">
        <v>82</v>
      </c>
      <c r="M25" t="s">
        <v>83</v>
      </c>
      <c r="N25" t="s">
        <v>327</v>
      </c>
      <c r="O25" t="s">
        <v>103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8.5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1</v>
      </c>
      <c r="BI25">
        <v>6.6</v>
      </c>
      <c r="BJ25">
        <v>9.6</v>
      </c>
      <c r="BK25">
        <v>10</v>
      </c>
      <c r="BL25">
        <v>98.54</v>
      </c>
      <c r="BM25">
        <v>14.78</v>
      </c>
      <c r="BN25">
        <v>113.32</v>
      </c>
      <c r="BO25">
        <v>113.32</v>
      </c>
      <c r="BQ25" t="s">
        <v>328</v>
      </c>
      <c r="BR25" t="s">
        <v>297</v>
      </c>
      <c r="BS25" s="2">
        <v>43958</v>
      </c>
      <c r="BT25" s="3">
        <v>0.42222222222222222</v>
      </c>
      <c r="BU25" t="s">
        <v>329</v>
      </c>
      <c r="BV25" t="s">
        <v>81</v>
      </c>
      <c r="BW25" t="s">
        <v>93</v>
      </c>
      <c r="BX25" t="s">
        <v>144</v>
      </c>
      <c r="BY25">
        <v>48078.68</v>
      </c>
      <c r="CA25" t="s">
        <v>84</v>
      </c>
      <c r="CC25" t="s">
        <v>83</v>
      </c>
      <c r="CD25">
        <v>6001</v>
      </c>
      <c r="CE25" t="s">
        <v>80</v>
      </c>
      <c r="CF25" s="2">
        <v>43963</v>
      </c>
      <c r="CI25">
        <v>2</v>
      </c>
      <c r="CJ25">
        <v>3</v>
      </c>
      <c r="CK25" t="s">
        <v>191</v>
      </c>
      <c r="CL25" t="s">
        <v>81</v>
      </c>
    </row>
    <row r="26" spans="1:90" x14ac:dyDescent="0.25">
      <c r="A26" t="s">
        <v>239</v>
      </c>
      <c r="B26" t="s">
        <v>240</v>
      </c>
      <c r="C26" t="s">
        <v>72</v>
      </c>
      <c r="E26" t="str">
        <f>"080002573213"</f>
        <v>080002573213</v>
      </c>
      <c r="F26" s="2">
        <v>43958</v>
      </c>
      <c r="G26">
        <v>202011</v>
      </c>
      <c r="H26" t="s">
        <v>206</v>
      </c>
      <c r="I26" t="s">
        <v>207</v>
      </c>
      <c r="J26" t="s">
        <v>330</v>
      </c>
      <c r="K26" t="s">
        <v>75</v>
      </c>
      <c r="L26" t="s">
        <v>123</v>
      </c>
      <c r="M26" t="s">
        <v>92</v>
      </c>
      <c r="N26" t="s">
        <v>248</v>
      </c>
      <c r="O26" t="s">
        <v>103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1.71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1</v>
      </c>
      <c r="BI26">
        <v>7.8</v>
      </c>
      <c r="BJ26">
        <v>14.1</v>
      </c>
      <c r="BK26">
        <v>14</v>
      </c>
      <c r="BL26">
        <v>92.42</v>
      </c>
      <c r="BM26">
        <v>13.86</v>
      </c>
      <c r="BN26">
        <v>106.28</v>
      </c>
      <c r="BO26">
        <v>106.28</v>
      </c>
      <c r="BQ26" t="s">
        <v>250</v>
      </c>
      <c r="BR26" t="s">
        <v>331</v>
      </c>
      <c r="BS26" s="2">
        <v>43962</v>
      </c>
      <c r="BT26" s="3">
        <v>0.50277777777777777</v>
      </c>
      <c r="BU26" t="s">
        <v>332</v>
      </c>
      <c r="BV26" t="s">
        <v>85</v>
      </c>
      <c r="BY26">
        <v>70336.070000000007</v>
      </c>
      <c r="CA26" t="s">
        <v>161</v>
      </c>
      <c r="CC26" t="s">
        <v>92</v>
      </c>
      <c r="CD26">
        <v>7824</v>
      </c>
      <c r="CE26" t="s">
        <v>152</v>
      </c>
      <c r="CF26" s="2">
        <v>43963</v>
      </c>
      <c r="CI26">
        <v>2</v>
      </c>
      <c r="CJ26">
        <v>2</v>
      </c>
      <c r="CK26" t="s">
        <v>122</v>
      </c>
      <c r="CL26" t="s">
        <v>81</v>
      </c>
    </row>
    <row r="27" spans="1:90" x14ac:dyDescent="0.25">
      <c r="A27" t="s">
        <v>239</v>
      </c>
      <c r="B27" t="s">
        <v>240</v>
      </c>
      <c r="C27" t="s">
        <v>72</v>
      </c>
      <c r="E27" t="str">
        <f>"009938740891"</f>
        <v>009938740891</v>
      </c>
      <c r="F27" s="2">
        <v>43957</v>
      </c>
      <c r="G27">
        <v>202011</v>
      </c>
      <c r="H27" t="s">
        <v>145</v>
      </c>
      <c r="I27" t="s">
        <v>146</v>
      </c>
      <c r="J27" t="s">
        <v>333</v>
      </c>
      <c r="K27" t="s">
        <v>75</v>
      </c>
      <c r="L27" t="s">
        <v>105</v>
      </c>
      <c r="M27" t="s">
        <v>106</v>
      </c>
      <c r="N27" t="s">
        <v>334</v>
      </c>
      <c r="O27" t="s">
        <v>103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1.57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1.7</v>
      </c>
      <c r="BJ27">
        <v>1.5</v>
      </c>
      <c r="BK27">
        <v>2</v>
      </c>
      <c r="BL27">
        <v>85.07</v>
      </c>
      <c r="BM27">
        <v>12.76</v>
      </c>
      <c r="BN27">
        <v>97.83</v>
      </c>
      <c r="BO27">
        <v>97.83</v>
      </c>
      <c r="BQ27" t="s">
        <v>335</v>
      </c>
      <c r="BR27" t="s">
        <v>170</v>
      </c>
      <c r="BS27" s="2">
        <v>43958</v>
      </c>
      <c r="BT27" s="3">
        <v>0.39583333333333331</v>
      </c>
      <c r="BU27" t="s">
        <v>336</v>
      </c>
      <c r="BV27" t="s">
        <v>85</v>
      </c>
      <c r="BY27">
        <v>7373.52</v>
      </c>
      <c r="CC27" t="s">
        <v>106</v>
      </c>
      <c r="CD27">
        <v>2000</v>
      </c>
      <c r="CE27" t="s">
        <v>80</v>
      </c>
      <c r="CF27" s="2">
        <v>43959</v>
      </c>
      <c r="CI27">
        <v>1</v>
      </c>
      <c r="CJ27">
        <v>1</v>
      </c>
      <c r="CK27" t="s">
        <v>189</v>
      </c>
      <c r="CL27" t="s">
        <v>81</v>
      </c>
    </row>
    <row r="28" spans="1:90" x14ac:dyDescent="0.25">
      <c r="A28" t="s">
        <v>239</v>
      </c>
      <c r="B28" t="s">
        <v>240</v>
      </c>
      <c r="C28" t="s">
        <v>72</v>
      </c>
      <c r="E28" t="str">
        <f>"009938740890"</f>
        <v>009938740890</v>
      </c>
      <c r="F28" s="2">
        <v>43957</v>
      </c>
      <c r="G28">
        <v>202011</v>
      </c>
      <c r="H28" t="s">
        <v>145</v>
      </c>
      <c r="I28" t="s">
        <v>146</v>
      </c>
      <c r="J28" t="s">
        <v>333</v>
      </c>
      <c r="K28" t="s">
        <v>75</v>
      </c>
      <c r="L28" t="s">
        <v>105</v>
      </c>
      <c r="M28" t="s">
        <v>106</v>
      </c>
      <c r="N28" t="s">
        <v>334</v>
      </c>
      <c r="O28" t="s">
        <v>103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1.57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1.5</v>
      </c>
      <c r="BJ28">
        <v>1.8</v>
      </c>
      <c r="BK28">
        <v>2</v>
      </c>
      <c r="BL28">
        <v>85.07</v>
      </c>
      <c r="BM28">
        <v>12.76</v>
      </c>
      <c r="BN28">
        <v>97.83</v>
      </c>
      <c r="BO28">
        <v>97.83</v>
      </c>
      <c r="BQ28" t="s">
        <v>335</v>
      </c>
      <c r="BR28" t="s">
        <v>170</v>
      </c>
      <c r="BS28" s="2">
        <v>43958</v>
      </c>
      <c r="BT28" s="3">
        <v>0.39513888888888887</v>
      </c>
      <c r="BU28" t="s">
        <v>336</v>
      </c>
      <c r="BV28" t="s">
        <v>85</v>
      </c>
      <c r="BY28">
        <v>8771.14</v>
      </c>
      <c r="CC28" t="s">
        <v>106</v>
      </c>
      <c r="CD28">
        <v>2000</v>
      </c>
      <c r="CE28" t="s">
        <v>80</v>
      </c>
      <c r="CF28" s="2">
        <v>43959</v>
      </c>
      <c r="CI28">
        <v>1</v>
      </c>
      <c r="CJ28">
        <v>1</v>
      </c>
      <c r="CK28" t="s">
        <v>189</v>
      </c>
      <c r="CL28" t="s">
        <v>81</v>
      </c>
    </row>
    <row r="29" spans="1:90" x14ac:dyDescent="0.25">
      <c r="A29" t="s">
        <v>239</v>
      </c>
      <c r="B29" t="s">
        <v>240</v>
      </c>
      <c r="C29" t="s">
        <v>72</v>
      </c>
      <c r="E29" t="str">
        <f>"080002572307"</f>
        <v>080002572307</v>
      </c>
      <c r="F29" s="2">
        <v>43956</v>
      </c>
      <c r="G29">
        <v>202011</v>
      </c>
      <c r="H29" t="s">
        <v>117</v>
      </c>
      <c r="I29" t="s">
        <v>118</v>
      </c>
      <c r="J29" t="s">
        <v>337</v>
      </c>
      <c r="K29" t="s">
        <v>75</v>
      </c>
      <c r="L29" t="s">
        <v>131</v>
      </c>
      <c r="M29" t="s">
        <v>132</v>
      </c>
      <c r="N29" t="s">
        <v>338</v>
      </c>
      <c r="O29" t="s">
        <v>103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21.34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3</v>
      </c>
      <c r="BI29">
        <v>27.8</v>
      </c>
      <c r="BJ29">
        <v>62.1</v>
      </c>
      <c r="BK29">
        <v>62</v>
      </c>
      <c r="BL29">
        <v>239.73</v>
      </c>
      <c r="BM29">
        <v>35.96</v>
      </c>
      <c r="BN29">
        <v>275.69</v>
      </c>
      <c r="BO29">
        <v>275.69</v>
      </c>
      <c r="BQ29" t="s">
        <v>339</v>
      </c>
      <c r="BR29" t="s">
        <v>340</v>
      </c>
      <c r="BS29" s="2">
        <v>43957</v>
      </c>
      <c r="BT29" s="3">
        <v>0.4381944444444445</v>
      </c>
      <c r="BU29" t="s">
        <v>341</v>
      </c>
      <c r="BV29" t="s">
        <v>85</v>
      </c>
      <c r="BY29">
        <v>310278.03000000003</v>
      </c>
      <c r="CC29" t="s">
        <v>132</v>
      </c>
      <c r="CD29">
        <v>1683</v>
      </c>
      <c r="CE29" t="s">
        <v>80</v>
      </c>
      <c r="CF29" s="2">
        <v>43958</v>
      </c>
      <c r="CI29">
        <v>1</v>
      </c>
      <c r="CJ29">
        <v>1</v>
      </c>
      <c r="CK29" t="s">
        <v>189</v>
      </c>
      <c r="CL29" t="s">
        <v>81</v>
      </c>
    </row>
    <row r="30" spans="1:90" x14ac:dyDescent="0.25">
      <c r="A30" t="s">
        <v>239</v>
      </c>
      <c r="B30" t="s">
        <v>240</v>
      </c>
      <c r="C30" t="s">
        <v>72</v>
      </c>
      <c r="E30" t="str">
        <f>"009939929444"</f>
        <v>009939929444</v>
      </c>
      <c r="F30" s="2">
        <v>43959</v>
      </c>
      <c r="G30">
        <v>202011</v>
      </c>
      <c r="H30" t="s">
        <v>91</v>
      </c>
      <c r="I30" t="s">
        <v>92</v>
      </c>
      <c r="J30" t="s">
        <v>236</v>
      </c>
      <c r="K30" t="s">
        <v>75</v>
      </c>
      <c r="L30" t="s">
        <v>136</v>
      </c>
      <c r="M30" t="s">
        <v>137</v>
      </c>
      <c r="N30" t="s">
        <v>342</v>
      </c>
      <c r="O30" t="s">
        <v>103</v>
      </c>
      <c r="P30" t="str">
        <f>"NA                            "</f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1.92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29.7</v>
      </c>
      <c r="BJ30">
        <v>25.1</v>
      </c>
      <c r="BK30">
        <v>30</v>
      </c>
      <c r="BL30">
        <v>103</v>
      </c>
      <c r="BM30">
        <v>15.45</v>
      </c>
      <c r="BN30">
        <v>118.45</v>
      </c>
      <c r="BO30">
        <v>118.45</v>
      </c>
      <c r="BQ30" t="s">
        <v>343</v>
      </c>
      <c r="BR30" t="s">
        <v>297</v>
      </c>
      <c r="BS30" s="2">
        <v>43962</v>
      </c>
      <c r="BT30" s="3">
        <v>0.62638888888888888</v>
      </c>
      <c r="BU30" t="s">
        <v>344</v>
      </c>
      <c r="BV30" t="s">
        <v>85</v>
      </c>
      <c r="BY30">
        <v>125416.92</v>
      </c>
      <c r="CC30" t="s">
        <v>137</v>
      </c>
      <c r="CD30">
        <v>6500</v>
      </c>
      <c r="CE30" t="s">
        <v>345</v>
      </c>
      <c r="CF30" s="2">
        <v>43966</v>
      </c>
      <c r="CI30">
        <v>0</v>
      </c>
      <c r="CJ30">
        <v>0</v>
      </c>
      <c r="CK30" t="s">
        <v>212</v>
      </c>
      <c r="CL30" t="s">
        <v>81</v>
      </c>
    </row>
    <row r="31" spans="1:90" x14ac:dyDescent="0.25">
      <c r="A31" t="s">
        <v>239</v>
      </c>
      <c r="B31" t="s">
        <v>240</v>
      </c>
      <c r="C31" t="s">
        <v>72</v>
      </c>
      <c r="E31" t="str">
        <f>"009940073266"</f>
        <v>009940073266</v>
      </c>
      <c r="F31" s="2">
        <v>43959</v>
      </c>
      <c r="G31">
        <v>202011</v>
      </c>
      <c r="H31" t="s">
        <v>91</v>
      </c>
      <c r="I31" t="s">
        <v>92</v>
      </c>
      <c r="J31" t="s">
        <v>236</v>
      </c>
      <c r="K31" t="s">
        <v>75</v>
      </c>
      <c r="L31" t="s">
        <v>82</v>
      </c>
      <c r="M31" t="s">
        <v>83</v>
      </c>
      <c r="N31" t="s">
        <v>346</v>
      </c>
      <c r="O31" t="s">
        <v>103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1.7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1</v>
      </c>
      <c r="BI31">
        <v>2.2999999999999998</v>
      </c>
      <c r="BJ31">
        <v>2.1</v>
      </c>
      <c r="BK31">
        <v>3</v>
      </c>
      <c r="BL31">
        <v>91.74</v>
      </c>
      <c r="BM31">
        <v>13.76</v>
      </c>
      <c r="BN31">
        <v>105.5</v>
      </c>
      <c r="BO31">
        <v>105.5</v>
      </c>
      <c r="BQ31" t="s">
        <v>328</v>
      </c>
      <c r="BR31" t="s">
        <v>250</v>
      </c>
      <c r="BS31" s="2">
        <v>43963</v>
      </c>
      <c r="BT31" s="3">
        <v>0.43402777777777773</v>
      </c>
      <c r="BU31" t="s">
        <v>347</v>
      </c>
      <c r="BV31" t="s">
        <v>85</v>
      </c>
      <c r="BY31">
        <v>10475.52</v>
      </c>
      <c r="CA31" t="s">
        <v>84</v>
      </c>
      <c r="CC31" t="s">
        <v>83</v>
      </c>
      <c r="CD31">
        <v>6001</v>
      </c>
      <c r="CE31" t="s">
        <v>348</v>
      </c>
      <c r="CF31" s="2">
        <v>43964</v>
      </c>
      <c r="CI31">
        <v>2</v>
      </c>
      <c r="CJ31">
        <v>2</v>
      </c>
      <c r="CK31" t="s">
        <v>191</v>
      </c>
      <c r="CL31" t="s">
        <v>81</v>
      </c>
    </row>
    <row r="32" spans="1:90" x14ac:dyDescent="0.25">
      <c r="A32" t="s">
        <v>239</v>
      </c>
      <c r="B32" t="s">
        <v>240</v>
      </c>
      <c r="C32" t="s">
        <v>72</v>
      </c>
      <c r="E32" t="str">
        <f>"009939780068"</f>
        <v>009939780068</v>
      </c>
      <c r="F32" s="2">
        <v>43959</v>
      </c>
      <c r="G32">
        <v>202011</v>
      </c>
      <c r="H32" t="s">
        <v>131</v>
      </c>
      <c r="I32" t="s">
        <v>132</v>
      </c>
      <c r="J32" t="s">
        <v>349</v>
      </c>
      <c r="K32" t="s">
        <v>75</v>
      </c>
      <c r="L32" t="s">
        <v>97</v>
      </c>
      <c r="M32" t="s">
        <v>98</v>
      </c>
      <c r="N32" t="s">
        <v>350</v>
      </c>
      <c r="O32" t="s">
        <v>103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2.4700000000000002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3</v>
      </c>
      <c r="BI32">
        <v>40.6</v>
      </c>
      <c r="BJ32">
        <v>36.200000000000003</v>
      </c>
      <c r="BK32">
        <v>41</v>
      </c>
      <c r="BL32">
        <v>130.83000000000001</v>
      </c>
      <c r="BM32">
        <v>19.62</v>
      </c>
      <c r="BN32">
        <v>150.44999999999999</v>
      </c>
      <c r="BO32">
        <v>150.44999999999999</v>
      </c>
      <c r="BQ32" t="s">
        <v>178</v>
      </c>
      <c r="BR32" t="s">
        <v>215</v>
      </c>
      <c r="BS32" s="2">
        <v>43963</v>
      </c>
      <c r="BT32" s="3">
        <v>0.52083333333333337</v>
      </c>
      <c r="BU32" t="s">
        <v>235</v>
      </c>
      <c r="BV32" t="s">
        <v>81</v>
      </c>
      <c r="BW32" t="s">
        <v>100</v>
      </c>
      <c r="BX32" t="s">
        <v>96</v>
      </c>
      <c r="BY32">
        <v>180924.24</v>
      </c>
      <c r="CA32" t="s">
        <v>99</v>
      </c>
      <c r="CC32" t="s">
        <v>98</v>
      </c>
      <c r="CD32">
        <v>4300</v>
      </c>
      <c r="CE32" t="s">
        <v>80</v>
      </c>
      <c r="CF32" s="2">
        <v>43963</v>
      </c>
      <c r="CI32">
        <v>1</v>
      </c>
      <c r="CJ32">
        <v>2</v>
      </c>
      <c r="CK32" t="s">
        <v>104</v>
      </c>
      <c r="CL32" t="s">
        <v>81</v>
      </c>
    </row>
    <row r="33" spans="1:90" x14ac:dyDescent="0.25">
      <c r="A33" t="s">
        <v>239</v>
      </c>
      <c r="B33" t="s">
        <v>240</v>
      </c>
      <c r="C33" t="s">
        <v>72</v>
      </c>
      <c r="E33" t="str">
        <f>"009939638520"</f>
        <v>009939638520</v>
      </c>
      <c r="F33" s="2">
        <v>43962</v>
      </c>
      <c r="G33">
        <v>202011</v>
      </c>
      <c r="H33" t="s">
        <v>82</v>
      </c>
      <c r="I33" t="s">
        <v>83</v>
      </c>
      <c r="J33" t="s">
        <v>259</v>
      </c>
      <c r="K33" t="s">
        <v>75</v>
      </c>
      <c r="L33" t="s">
        <v>91</v>
      </c>
      <c r="M33" t="s">
        <v>92</v>
      </c>
      <c r="N33" t="s">
        <v>351</v>
      </c>
      <c r="O33" t="s">
        <v>78</v>
      </c>
      <c r="P33" t="str">
        <f>"11912270 FM                   "</f>
        <v xml:space="preserve">11912270 FM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0.84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42.71</v>
      </c>
      <c r="BM33">
        <v>6.41</v>
      </c>
      <c r="BN33">
        <v>49.12</v>
      </c>
      <c r="BO33">
        <v>49.12</v>
      </c>
      <c r="BQ33" t="s">
        <v>352</v>
      </c>
      <c r="BR33" t="s">
        <v>262</v>
      </c>
      <c r="BS33" s="2">
        <v>43963</v>
      </c>
      <c r="BT33" s="3">
        <v>0.45763888888888887</v>
      </c>
      <c r="BU33" t="s">
        <v>353</v>
      </c>
      <c r="BV33" t="s">
        <v>81</v>
      </c>
      <c r="BW33" t="s">
        <v>93</v>
      </c>
      <c r="BX33" t="s">
        <v>120</v>
      </c>
      <c r="BY33">
        <v>1200</v>
      </c>
      <c r="BZ33" t="s">
        <v>27</v>
      </c>
      <c r="CA33" t="s">
        <v>129</v>
      </c>
      <c r="CC33" t="s">
        <v>92</v>
      </c>
      <c r="CD33">
        <v>8000</v>
      </c>
      <c r="CE33" t="s">
        <v>80</v>
      </c>
      <c r="CF33" s="2">
        <v>43964</v>
      </c>
      <c r="CI33">
        <v>1</v>
      </c>
      <c r="CJ33">
        <v>1</v>
      </c>
      <c r="CK33">
        <v>21</v>
      </c>
      <c r="CL33" t="s">
        <v>81</v>
      </c>
    </row>
    <row r="34" spans="1:90" x14ac:dyDescent="0.25">
      <c r="A34" t="s">
        <v>239</v>
      </c>
      <c r="B34" t="s">
        <v>240</v>
      </c>
      <c r="C34" t="s">
        <v>72</v>
      </c>
      <c r="E34" t="str">
        <f>"009940073269"</f>
        <v>009940073269</v>
      </c>
      <c r="F34" s="2">
        <v>43962</v>
      </c>
      <c r="G34">
        <v>202011</v>
      </c>
      <c r="H34" t="s">
        <v>91</v>
      </c>
      <c r="I34" t="s">
        <v>92</v>
      </c>
      <c r="J34" t="s">
        <v>236</v>
      </c>
      <c r="K34" t="s">
        <v>75</v>
      </c>
      <c r="L34" t="s">
        <v>148</v>
      </c>
      <c r="M34" t="s">
        <v>149</v>
      </c>
      <c r="N34" t="s">
        <v>354</v>
      </c>
      <c r="O34" t="s">
        <v>78</v>
      </c>
      <c r="P34" t="str">
        <f>"NA                            "</f>
        <v xml:space="preserve">NA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1.26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1</v>
      </c>
      <c r="BI34">
        <v>2.6</v>
      </c>
      <c r="BJ34">
        <v>2.6</v>
      </c>
      <c r="BK34">
        <v>3</v>
      </c>
      <c r="BL34">
        <v>64.05</v>
      </c>
      <c r="BM34">
        <v>9.61</v>
      </c>
      <c r="BN34">
        <v>73.66</v>
      </c>
      <c r="BO34">
        <v>73.66</v>
      </c>
      <c r="BQ34" t="s">
        <v>355</v>
      </c>
      <c r="BR34" t="s">
        <v>250</v>
      </c>
      <c r="BS34" s="2">
        <v>43965</v>
      </c>
      <c r="BT34" s="3">
        <v>0.40069444444444446</v>
      </c>
      <c r="BU34" t="s">
        <v>179</v>
      </c>
      <c r="BV34" t="s">
        <v>81</v>
      </c>
      <c r="BW34" t="s">
        <v>124</v>
      </c>
      <c r="BX34" t="s">
        <v>356</v>
      </c>
      <c r="BY34">
        <v>13189.8</v>
      </c>
      <c r="BZ34" t="s">
        <v>27</v>
      </c>
      <c r="CC34" t="s">
        <v>149</v>
      </c>
      <c r="CD34">
        <v>3201</v>
      </c>
      <c r="CE34" t="s">
        <v>80</v>
      </c>
      <c r="CF34" s="2">
        <v>43966</v>
      </c>
      <c r="CI34">
        <v>1</v>
      </c>
      <c r="CJ34">
        <v>3</v>
      </c>
      <c r="CK34">
        <v>21</v>
      </c>
      <c r="CL34" t="s">
        <v>81</v>
      </c>
    </row>
    <row r="35" spans="1:90" x14ac:dyDescent="0.25">
      <c r="A35" t="s">
        <v>239</v>
      </c>
      <c r="B35" t="s">
        <v>240</v>
      </c>
      <c r="C35" t="s">
        <v>72</v>
      </c>
      <c r="E35" t="str">
        <f>"009940073267"</f>
        <v>009940073267</v>
      </c>
      <c r="F35" s="2">
        <v>43962</v>
      </c>
      <c r="G35">
        <v>202011</v>
      </c>
      <c r="H35" t="s">
        <v>91</v>
      </c>
      <c r="I35" t="s">
        <v>92</v>
      </c>
      <c r="J35" t="s">
        <v>236</v>
      </c>
      <c r="K35" t="s">
        <v>75</v>
      </c>
      <c r="L35" t="s">
        <v>94</v>
      </c>
      <c r="M35" t="s">
        <v>95</v>
      </c>
      <c r="N35" t="s">
        <v>357</v>
      </c>
      <c r="O35" t="s">
        <v>78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0.84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1</v>
      </c>
      <c r="BI35">
        <v>0.4</v>
      </c>
      <c r="BJ35">
        <v>0.6</v>
      </c>
      <c r="BK35">
        <v>1</v>
      </c>
      <c r="BL35">
        <v>42.71</v>
      </c>
      <c r="BM35">
        <v>6.41</v>
      </c>
      <c r="BN35">
        <v>49.12</v>
      </c>
      <c r="BO35">
        <v>49.12</v>
      </c>
      <c r="BQ35" t="s">
        <v>358</v>
      </c>
      <c r="BR35" t="s">
        <v>250</v>
      </c>
      <c r="BS35" s="2">
        <v>43964</v>
      </c>
      <c r="BT35" s="3">
        <v>0.5625</v>
      </c>
      <c r="BU35" t="s">
        <v>359</v>
      </c>
      <c r="BV35" t="s">
        <v>81</v>
      </c>
      <c r="BW35" t="s">
        <v>86</v>
      </c>
      <c r="BX35" t="s">
        <v>96</v>
      </c>
      <c r="BY35">
        <v>3234</v>
      </c>
      <c r="BZ35" t="s">
        <v>27</v>
      </c>
      <c r="CA35" t="s">
        <v>182</v>
      </c>
      <c r="CC35" t="s">
        <v>95</v>
      </c>
      <c r="CD35">
        <v>4091</v>
      </c>
      <c r="CE35" t="s">
        <v>80</v>
      </c>
      <c r="CF35" s="2">
        <v>43966</v>
      </c>
      <c r="CI35">
        <v>1</v>
      </c>
      <c r="CJ35">
        <v>2</v>
      </c>
      <c r="CK35">
        <v>21</v>
      </c>
      <c r="CL35" t="s">
        <v>81</v>
      </c>
    </row>
    <row r="36" spans="1:90" x14ac:dyDescent="0.25">
      <c r="A36" t="s">
        <v>239</v>
      </c>
      <c r="B36" t="s">
        <v>240</v>
      </c>
      <c r="C36" t="s">
        <v>72</v>
      </c>
      <c r="E36" t="str">
        <f>"080002575554"</f>
        <v>080002575554</v>
      </c>
      <c r="F36" s="2">
        <v>43962</v>
      </c>
      <c r="G36">
        <v>202011</v>
      </c>
      <c r="H36" t="s">
        <v>105</v>
      </c>
      <c r="I36" t="s">
        <v>106</v>
      </c>
      <c r="J36" t="s">
        <v>319</v>
      </c>
      <c r="K36" t="s">
        <v>75</v>
      </c>
      <c r="L36" t="s">
        <v>91</v>
      </c>
      <c r="M36" t="s">
        <v>92</v>
      </c>
      <c r="N36" t="s">
        <v>360</v>
      </c>
      <c r="O36" t="s">
        <v>78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0.84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0.2</v>
      </c>
      <c r="BJ36">
        <v>1.4</v>
      </c>
      <c r="BK36">
        <v>1.5</v>
      </c>
      <c r="BL36">
        <v>42.71</v>
      </c>
      <c r="BM36">
        <v>6.41</v>
      </c>
      <c r="BN36">
        <v>49.12</v>
      </c>
      <c r="BO36">
        <v>49.12</v>
      </c>
      <c r="BQ36" t="s">
        <v>361</v>
      </c>
      <c r="BR36" t="s">
        <v>362</v>
      </c>
      <c r="BS36" s="2">
        <v>43963</v>
      </c>
      <c r="BT36" s="3">
        <v>0.47847222222222219</v>
      </c>
      <c r="BU36" t="s">
        <v>361</v>
      </c>
      <c r="BV36" t="s">
        <v>85</v>
      </c>
      <c r="BY36">
        <v>7027.11</v>
      </c>
      <c r="CA36" t="s">
        <v>125</v>
      </c>
      <c r="CC36" t="s">
        <v>92</v>
      </c>
      <c r="CD36">
        <v>7806</v>
      </c>
      <c r="CE36" t="s">
        <v>363</v>
      </c>
      <c r="CF36" s="2">
        <v>43964</v>
      </c>
      <c r="CI36">
        <v>1</v>
      </c>
      <c r="CJ36">
        <v>1</v>
      </c>
      <c r="CK36">
        <v>21</v>
      </c>
      <c r="CL36" t="s">
        <v>81</v>
      </c>
    </row>
    <row r="37" spans="1:90" x14ac:dyDescent="0.25">
      <c r="A37" t="s">
        <v>239</v>
      </c>
      <c r="B37" t="s">
        <v>240</v>
      </c>
      <c r="C37" t="s">
        <v>72</v>
      </c>
      <c r="E37" t="str">
        <f>"009935227677"</f>
        <v>009935227677</v>
      </c>
      <c r="F37" s="2">
        <v>43962</v>
      </c>
      <c r="G37">
        <v>202011</v>
      </c>
      <c r="H37" t="s">
        <v>73</v>
      </c>
      <c r="I37" t="s">
        <v>74</v>
      </c>
      <c r="J37" t="s">
        <v>364</v>
      </c>
      <c r="K37" t="s">
        <v>75</v>
      </c>
      <c r="L37" t="s">
        <v>91</v>
      </c>
      <c r="M37" t="s">
        <v>92</v>
      </c>
      <c r="N37" t="s">
        <v>269</v>
      </c>
      <c r="O37" t="s">
        <v>78</v>
      </c>
      <c r="P37" t="str">
        <f>"NA                            "</f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0.84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1</v>
      </c>
      <c r="BI37">
        <v>0.5</v>
      </c>
      <c r="BJ37">
        <v>0.9</v>
      </c>
      <c r="BK37">
        <v>1</v>
      </c>
      <c r="BL37">
        <v>42.71</v>
      </c>
      <c r="BM37">
        <v>6.41</v>
      </c>
      <c r="BN37">
        <v>49.12</v>
      </c>
      <c r="BO37">
        <v>49.12</v>
      </c>
      <c r="BQ37" t="s">
        <v>365</v>
      </c>
      <c r="BR37" t="s">
        <v>192</v>
      </c>
      <c r="BS37" s="2">
        <v>43963</v>
      </c>
      <c r="BT37" s="3">
        <v>0.45763888888888887</v>
      </c>
      <c r="BU37" t="s">
        <v>353</v>
      </c>
      <c r="BV37" t="s">
        <v>81</v>
      </c>
      <c r="BW37" t="s">
        <v>93</v>
      </c>
      <c r="BX37" t="s">
        <v>120</v>
      </c>
      <c r="BY37">
        <v>4277.0200000000004</v>
      </c>
      <c r="BZ37" t="s">
        <v>27</v>
      </c>
      <c r="CA37" t="s">
        <v>129</v>
      </c>
      <c r="CC37" t="s">
        <v>92</v>
      </c>
      <c r="CD37">
        <v>8000</v>
      </c>
      <c r="CE37" t="s">
        <v>80</v>
      </c>
      <c r="CF37" s="2">
        <v>43964</v>
      </c>
      <c r="CI37">
        <v>1</v>
      </c>
      <c r="CJ37">
        <v>1</v>
      </c>
      <c r="CK37">
        <v>21</v>
      </c>
      <c r="CL37" t="s">
        <v>81</v>
      </c>
    </row>
    <row r="38" spans="1:90" x14ac:dyDescent="0.25">
      <c r="A38" t="s">
        <v>239</v>
      </c>
      <c r="B38" t="s">
        <v>240</v>
      </c>
      <c r="C38" t="s">
        <v>72</v>
      </c>
      <c r="E38" t="str">
        <f>"080002575550"</f>
        <v>080002575550</v>
      </c>
      <c r="F38" s="2">
        <v>43962</v>
      </c>
      <c r="G38">
        <v>202011</v>
      </c>
      <c r="H38" t="s">
        <v>105</v>
      </c>
      <c r="I38" t="s">
        <v>106</v>
      </c>
      <c r="J38" t="s">
        <v>319</v>
      </c>
      <c r="K38" t="s">
        <v>75</v>
      </c>
      <c r="L38" t="s">
        <v>91</v>
      </c>
      <c r="M38" t="s">
        <v>92</v>
      </c>
      <c r="N38" t="s">
        <v>366</v>
      </c>
      <c r="O38" t="s">
        <v>78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0.84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0.2</v>
      </c>
      <c r="BJ38">
        <v>0.6</v>
      </c>
      <c r="BK38">
        <v>1</v>
      </c>
      <c r="BL38">
        <v>42.71</v>
      </c>
      <c r="BM38">
        <v>6.41</v>
      </c>
      <c r="BN38">
        <v>49.12</v>
      </c>
      <c r="BO38">
        <v>49.12</v>
      </c>
      <c r="BQ38" t="s">
        <v>367</v>
      </c>
      <c r="BR38" t="s">
        <v>362</v>
      </c>
      <c r="BS38" s="2">
        <v>43963</v>
      </c>
      <c r="BT38" s="3">
        <v>0.4375</v>
      </c>
      <c r="BU38" t="s">
        <v>368</v>
      </c>
      <c r="BV38" t="s">
        <v>85</v>
      </c>
      <c r="BY38">
        <v>3133.55</v>
      </c>
      <c r="CA38" t="s">
        <v>369</v>
      </c>
      <c r="CC38" t="s">
        <v>92</v>
      </c>
      <c r="CD38">
        <v>7708</v>
      </c>
      <c r="CE38" t="s">
        <v>88</v>
      </c>
      <c r="CF38" s="2">
        <v>43964</v>
      </c>
      <c r="CI38">
        <v>1</v>
      </c>
      <c r="CJ38">
        <v>1</v>
      </c>
      <c r="CK38">
        <v>21</v>
      </c>
      <c r="CL38" t="s">
        <v>81</v>
      </c>
    </row>
    <row r="39" spans="1:90" x14ac:dyDescent="0.25">
      <c r="A39" t="s">
        <v>239</v>
      </c>
      <c r="B39" t="s">
        <v>240</v>
      </c>
      <c r="C39" t="s">
        <v>72</v>
      </c>
      <c r="E39" t="str">
        <f>"009938822199"</f>
        <v>009938822199</v>
      </c>
      <c r="F39" s="2">
        <v>43962</v>
      </c>
      <c r="G39">
        <v>202011</v>
      </c>
      <c r="H39" t="s">
        <v>73</v>
      </c>
      <c r="I39" t="s">
        <v>74</v>
      </c>
      <c r="J39" t="s">
        <v>364</v>
      </c>
      <c r="K39" t="s">
        <v>75</v>
      </c>
      <c r="L39" t="s">
        <v>229</v>
      </c>
      <c r="M39" t="s">
        <v>222</v>
      </c>
      <c r="N39" t="s">
        <v>259</v>
      </c>
      <c r="O39" t="s">
        <v>78</v>
      </c>
      <c r="P39" t="str">
        <f>"NA                            "</f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0.84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1</v>
      </c>
      <c r="BI39">
        <v>0.2</v>
      </c>
      <c r="BJ39">
        <v>1.2</v>
      </c>
      <c r="BK39">
        <v>1.5</v>
      </c>
      <c r="BL39">
        <v>42.71</v>
      </c>
      <c r="BM39">
        <v>6.41</v>
      </c>
      <c r="BN39">
        <v>49.12</v>
      </c>
      <c r="BO39">
        <v>49.12</v>
      </c>
      <c r="BQ39" t="s">
        <v>370</v>
      </c>
      <c r="BR39" t="s">
        <v>371</v>
      </c>
      <c r="BS39" s="2">
        <v>43969</v>
      </c>
      <c r="BT39" s="3">
        <v>0.40277777777777773</v>
      </c>
      <c r="BU39" t="s">
        <v>372</v>
      </c>
      <c r="BV39" t="s">
        <v>81</v>
      </c>
      <c r="BY39">
        <v>5919.35</v>
      </c>
      <c r="BZ39" t="s">
        <v>27</v>
      </c>
      <c r="CA39" t="s">
        <v>147</v>
      </c>
      <c r="CC39" t="s">
        <v>222</v>
      </c>
      <c r="CD39">
        <v>1200</v>
      </c>
      <c r="CE39" t="s">
        <v>80</v>
      </c>
      <c r="CF39" s="2">
        <v>43971</v>
      </c>
      <c r="CI39">
        <v>1</v>
      </c>
      <c r="CJ39">
        <v>5</v>
      </c>
      <c r="CK39">
        <v>21</v>
      </c>
      <c r="CL39" t="s">
        <v>81</v>
      </c>
    </row>
    <row r="40" spans="1:90" x14ac:dyDescent="0.25">
      <c r="A40" t="s">
        <v>239</v>
      </c>
      <c r="B40" t="s">
        <v>240</v>
      </c>
      <c r="C40" t="s">
        <v>72</v>
      </c>
      <c r="E40" t="str">
        <f>"080002574052"</f>
        <v>080002574052</v>
      </c>
      <c r="F40" s="2">
        <v>43962</v>
      </c>
      <c r="G40">
        <v>202011</v>
      </c>
      <c r="H40" t="s">
        <v>148</v>
      </c>
      <c r="I40" t="s">
        <v>149</v>
      </c>
      <c r="J40" t="s">
        <v>373</v>
      </c>
      <c r="K40" t="s">
        <v>75</v>
      </c>
      <c r="L40" t="s">
        <v>105</v>
      </c>
      <c r="M40" t="s">
        <v>106</v>
      </c>
      <c r="N40" t="s">
        <v>374</v>
      </c>
      <c r="O40" t="s">
        <v>78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0.84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1</v>
      </c>
      <c r="BI40">
        <v>0.4</v>
      </c>
      <c r="BJ40">
        <v>0.5</v>
      </c>
      <c r="BK40">
        <v>0.5</v>
      </c>
      <c r="BL40">
        <v>42.71</v>
      </c>
      <c r="BM40">
        <v>6.41</v>
      </c>
      <c r="BN40">
        <v>49.12</v>
      </c>
      <c r="BO40">
        <v>49.12</v>
      </c>
      <c r="BQ40" t="s">
        <v>375</v>
      </c>
      <c r="BR40" t="s">
        <v>376</v>
      </c>
      <c r="BS40" s="2">
        <v>43963</v>
      </c>
      <c r="BT40" s="3">
        <v>0.39652777777777781</v>
      </c>
      <c r="BU40" t="s">
        <v>205</v>
      </c>
      <c r="BV40" t="s">
        <v>85</v>
      </c>
      <c r="BY40">
        <v>2448</v>
      </c>
      <c r="BZ40" t="s">
        <v>27</v>
      </c>
      <c r="CC40" t="s">
        <v>106</v>
      </c>
      <c r="CD40">
        <v>2066</v>
      </c>
      <c r="CE40" t="s">
        <v>88</v>
      </c>
      <c r="CF40" s="2">
        <v>43964</v>
      </c>
      <c r="CI40">
        <v>1</v>
      </c>
      <c r="CJ40">
        <v>1</v>
      </c>
      <c r="CK40">
        <v>21</v>
      </c>
      <c r="CL40" t="s">
        <v>81</v>
      </c>
    </row>
    <row r="41" spans="1:90" x14ac:dyDescent="0.25">
      <c r="A41" t="s">
        <v>239</v>
      </c>
      <c r="B41" t="s">
        <v>240</v>
      </c>
      <c r="C41" t="s">
        <v>72</v>
      </c>
      <c r="E41" t="str">
        <f>"080002575189"</f>
        <v>080002575189</v>
      </c>
      <c r="F41" s="2">
        <v>43962</v>
      </c>
      <c r="G41">
        <v>202011</v>
      </c>
      <c r="H41" t="s">
        <v>105</v>
      </c>
      <c r="I41" t="s">
        <v>106</v>
      </c>
      <c r="J41" t="s">
        <v>319</v>
      </c>
      <c r="K41" t="s">
        <v>75</v>
      </c>
      <c r="L41" t="s">
        <v>131</v>
      </c>
      <c r="M41" t="s">
        <v>132</v>
      </c>
      <c r="N41" t="s">
        <v>377</v>
      </c>
      <c r="O41" t="s">
        <v>103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1.18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4.3</v>
      </c>
      <c r="BJ41">
        <v>8.5</v>
      </c>
      <c r="BK41">
        <v>9</v>
      </c>
      <c r="BL41">
        <v>65.06</v>
      </c>
      <c r="BM41">
        <v>9.76</v>
      </c>
      <c r="BN41">
        <v>74.819999999999993</v>
      </c>
      <c r="BO41">
        <v>74.819999999999993</v>
      </c>
      <c r="BQ41" t="s">
        <v>378</v>
      </c>
      <c r="BR41" t="s">
        <v>379</v>
      </c>
      <c r="BS41" s="2">
        <v>43963</v>
      </c>
      <c r="BT41" s="3">
        <v>0.45833333333333331</v>
      </c>
      <c r="BU41" t="s">
        <v>380</v>
      </c>
      <c r="BV41" t="s">
        <v>85</v>
      </c>
      <c r="BY41">
        <v>42659</v>
      </c>
      <c r="CC41" t="s">
        <v>132</v>
      </c>
      <c r="CD41">
        <v>1682</v>
      </c>
      <c r="CE41" t="s">
        <v>196</v>
      </c>
      <c r="CF41" s="2">
        <v>43964</v>
      </c>
      <c r="CI41">
        <v>1</v>
      </c>
      <c r="CJ41">
        <v>1</v>
      </c>
      <c r="CK41" t="s">
        <v>121</v>
      </c>
      <c r="CL41" t="s">
        <v>81</v>
      </c>
    </row>
    <row r="42" spans="1:90" x14ac:dyDescent="0.25">
      <c r="A42" t="s">
        <v>239</v>
      </c>
      <c r="B42" t="s">
        <v>240</v>
      </c>
      <c r="C42" t="s">
        <v>72</v>
      </c>
      <c r="E42" t="str">
        <f>"009939899865"</f>
        <v>009939899865</v>
      </c>
      <c r="F42" s="2">
        <v>43962</v>
      </c>
      <c r="G42">
        <v>202011</v>
      </c>
      <c r="H42" t="s">
        <v>105</v>
      </c>
      <c r="I42" t="s">
        <v>106</v>
      </c>
      <c r="J42" t="s">
        <v>236</v>
      </c>
      <c r="K42" t="s">
        <v>75</v>
      </c>
      <c r="L42" t="s">
        <v>97</v>
      </c>
      <c r="M42" t="s">
        <v>98</v>
      </c>
      <c r="N42" t="s">
        <v>236</v>
      </c>
      <c r="O42" t="s">
        <v>103</v>
      </c>
      <c r="P42" t="str">
        <f>"NA                            "</f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1.18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0.7</v>
      </c>
      <c r="BJ42">
        <v>2.2000000000000002</v>
      </c>
      <c r="BK42">
        <v>3</v>
      </c>
      <c r="BL42">
        <v>65.06</v>
      </c>
      <c r="BM42">
        <v>9.76</v>
      </c>
      <c r="BN42">
        <v>74.819999999999993</v>
      </c>
      <c r="BO42">
        <v>74.819999999999993</v>
      </c>
      <c r="BQ42" t="s">
        <v>234</v>
      </c>
      <c r="BR42" t="s">
        <v>381</v>
      </c>
      <c r="BS42" s="2">
        <v>43963</v>
      </c>
      <c r="BT42" s="3">
        <v>0.52083333333333337</v>
      </c>
      <c r="BU42" t="s">
        <v>233</v>
      </c>
      <c r="BV42" t="s">
        <v>85</v>
      </c>
      <c r="BY42">
        <v>11044.05</v>
      </c>
      <c r="CC42" t="s">
        <v>98</v>
      </c>
      <c r="CD42">
        <v>4300</v>
      </c>
      <c r="CE42" t="s">
        <v>80</v>
      </c>
      <c r="CF42" s="2">
        <v>43966</v>
      </c>
      <c r="CI42">
        <v>1</v>
      </c>
      <c r="CJ42">
        <v>1</v>
      </c>
      <c r="CK42" t="s">
        <v>104</v>
      </c>
      <c r="CL42" t="s">
        <v>81</v>
      </c>
    </row>
    <row r="43" spans="1:90" x14ac:dyDescent="0.25">
      <c r="A43" t="s">
        <v>239</v>
      </c>
      <c r="B43" t="s">
        <v>240</v>
      </c>
      <c r="C43" t="s">
        <v>72</v>
      </c>
      <c r="E43" t="str">
        <f>"080002575287"</f>
        <v>080002575287</v>
      </c>
      <c r="F43" s="2">
        <v>43962</v>
      </c>
      <c r="G43">
        <v>202011</v>
      </c>
      <c r="H43" t="s">
        <v>73</v>
      </c>
      <c r="I43" t="s">
        <v>74</v>
      </c>
      <c r="J43" t="s">
        <v>382</v>
      </c>
      <c r="K43" t="s">
        <v>75</v>
      </c>
      <c r="L43" t="s">
        <v>101</v>
      </c>
      <c r="M43" t="s">
        <v>102</v>
      </c>
      <c r="N43" t="s">
        <v>383</v>
      </c>
      <c r="O43" t="s">
        <v>78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0.84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0.2</v>
      </c>
      <c r="BJ43">
        <v>0.8</v>
      </c>
      <c r="BK43">
        <v>1</v>
      </c>
      <c r="BL43">
        <v>42.71</v>
      </c>
      <c r="BM43">
        <v>6.41</v>
      </c>
      <c r="BN43">
        <v>49.12</v>
      </c>
      <c r="BO43">
        <v>49.12</v>
      </c>
      <c r="BQ43" t="s">
        <v>384</v>
      </c>
      <c r="BR43" t="s">
        <v>385</v>
      </c>
      <c r="BS43" s="2">
        <v>43963</v>
      </c>
      <c r="BT43" s="3">
        <v>0.47222222222222227</v>
      </c>
      <c r="BU43" t="s">
        <v>386</v>
      </c>
      <c r="BV43" t="s">
        <v>85</v>
      </c>
      <c r="BY43">
        <v>3821.54</v>
      </c>
      <c r="CA43" t="s">
        <v>115</v>
      </c>
      <c r="CC43" t="s">
        <v>102</v>
      </c>
      <c r="CD43">
        <v>3610</v>
      </c>
      <c r="CE43" t="s">
        <v>88</v>
      </c>
      <c r="CF43" s="2">
        <v>43966</v>
      </c>
      <c r="CI43">
        <v>1</v>
      </c>
      <c r="CJ43">
        <v>1</v>
      </c>
      <c r="CK43">
        <v>21</v>
      </c>
      <c r="CL43" t="s">
        <v>81</v>
      </c>
    </row>
    <row r="44" spans="1:90" x14ac:dyDescent="0.25">
      <c r="A44" t="s">
        <v>239</v>
      </c>
      <c r="B44" t="s">
        <v>240</v>
      </c>
      <c r="C44" t="s">
        <v>72</v>
      </c>
      <c r="E44" t="str">
        <f>"009940084889"</f>
        <v>009940084889</v>
      </c>
      <c r="F44" s="2">
        <v>43962</v>
      </c>
      <c r="G44">
        <v>202011</v>
      </c>
      <c r="H44" t="s">
        <v>105</v>
      </c>
      <c r="I44" t="s">
        <v>106</v>
      </c>
      <c r="J44" t="s">
        <v>268</v>
      </c>
      <c r="K44" t="s">
        <v>75</v>
      </c>
      <c r="L44" t="s">
        <v>97</v>
      </c>
      <c r="M44" t="s">
        <v>98</v>
      </c>
      <c r="N44" t="s">
        <v>387</v>
      </c>
      <c r="O44" t="s">
        <v>78</v>
      </c>
      <c r="P44" t="str">
        <f>"1111384885 402190             "</f>
        <v xml:space="preserve">1111384885 402190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0.84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42.71</v>
      </c>
      <c r="BM44">
        <v>6.41</v>
      </c>
      <c r="BN44">
        <v>49.12</v>
      </c>
      <c r="BO44">
        <v>49.12</v>
      </c>
      <c r="BQ44" t="s">
        <v>388</v>
      </c>
      <c r="BR44" t="s">
        <v>389</v>
      </c>
      <c r="BS44" s="2">
        <v>43972</v>
      </c>
      <c r="BT44" s="3">
        <v>0.60069444444444442</v>
      </c>
      <c r="BU44" t="s">
        <v>390</v>
      </c>
      <c r="BV44" t="s">
        <v>81</v>
      </c>
      <c r="BW44" t="s">
        <v>86</v>
      </c>
      <c r="BX44" t="s">
        <v>96</v>
      </c>
      <c r="BY44">
        <v>1200</v>
      </c>
      <c r="BZ44" t="s">
        <v>27</v>
      </c>
      <c r="CA44" t="s">
        <v>143</v>
      </c>
      <c r="CC44" t="s">
        <v>98</v>
      </c>
      <c r="CD44">
        <v>4300</v>
      </c>
      <c r="CE44" t="s">
        <v>80</v>
      </c>
      <c r="CF44" s="2">
        <v>43973</v>
      </c>
      <c r="CI44">
        <v>1</v>
      </c>
      <c r="CJ44">
        <v>8</v>
      </c>
      <c r="CK44">
        <v>21</v>
      </c>
      <c r="CL44" t="s">
        <v>81</v>
      </c>
    </row>
    <row r="45" spans="1:90" x14ac:dyDescent="0.25">
      <c r="A45" t="s">
        <v>239</v>
      </c>
      <c r="B45" t="s">
        <v>240</v>
      </c>
      <c r="C45" t="s">
        <v>72</v>
      </c>
      <c r="E45" t="str">
        <f>"009940084886"</f>
        <v>009940084886</v>
      </c>
      <c r="F45" s="2">
        <v>43962</v>
      </c>
      <c r="G45">
        <v>202011</v>
      </c>
      <c r="H45" t="s">
        <v>105</v>
      </c>
      <c r="I45" t="s">
        <v>106</v>
      </c>
      <c r="J45" t="s">
        <v>268</v>
      </c>
      <c r="K45" t="s">
        <v>75</v>
      </c>
      <c r="L45" t="s">
        <v>97</v>
      </c>
      <c r="M45" t="s">
        <v>98</v>
      </c>
      <c r="N45" t="s">
        <v>391</v>
      </c>
      <c r="O45" t="s">
        <v>78</v>
      </c>
      <c r="P45" t="str">
        <f>"12252436 FS                   "</f>
        <v xml:space="preserve">12252436 FS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0.84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42.71</v>
      </c>
      <c r="BM45">
        <v>6.41</v>
      </c>
      <c r="BN45">
        <v>49.12</v>
      </c>
      <c r="BO45">
        <v>49.12</v>
      </c>
      <c r="BQ45" t="s">
        <v>392</v>
      </c>
      <c r="BR45" t="s">
        <v>217</v>
      </c>
      <c r="BS45" s="2">
        <v>43963</v>
      </c>
      <c r="BT45" s="3">
        <v>0.52013888888888882</v>
      </c>
      <c r="BU45" t="s">
        <v>393</v>
      </c>
      <c r="BV45" t="s">
        <v>85</v>
      </c>
      <c r="BY45">
        <v>1200</v>
      </c>
      <c r="BZ45" t="s">
        <v>27</v>
      </c>
      <c r="CA45" t="s">
        <v>99</v>
      </c>
      <c r="CC45" t="s">
        <v>98</v>
      </c>
      <c r="CD45">
        <v>4300</v>
      </c>
      <c r="CE45" t="s">
        <v>80</v>
      </c>
      <c r="CF45" s="2">
        <v>43966</v>
      </c>
      <c r="CI45">
        <v>1</v>
      </c>
      <c r="CJ45">
        <v>1</v>
      </c>
      <c r="CK45">
        <v>21</v>
      </c>
      <c r="CL45" t="s">
        <v>81</v>
      </c>
    </row>
    <row r="46" spans="1:90" x14ac:dyDescent="0.25">
      <c r="A46" t="s">
        <v>239</v>
      </c>
      <c r="B46" t="s">
        <v>240</v>
      </c>
      <c r="C46" t="s">
        <v>72</v>
      </c>
      <c r="E46" t="str">
        <f>"009940090639"</f>
        <v>009940090639</v>
      </c>
      <c r="F46" s="2">
        <v>43962</v>
      </c>
      <c r="G46">
        <v>202011</v>
      </c>
      <c r="H46" t="s">
        <v>105</v>
      </c>
      <c r="I46" t="s">
        <v>106</v>
      </c>
      <c r="J46" t="s">
        <v>394</v>
      </c>
      <c r="K46" t="s">
        <v>75</v>
      </c>
      <c r="L46" t="s">
        <v>94</v>
      </c>
      <c r="M46" t="s">
        <v>95</v>
      </c>
      <c r="N46" t="s">
        <v>395</v>
      </c>
      <c r="O46" t="s">
        <v>78</v>
      </c>
      <c r="P46" t="str">
        <f>"1111384865                    "</f>
        <v xml:space="preserve">1111384865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0.84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42.71</v>
      </c>
      <c r="BM46">
        <v>6.41</v>
      </c>
      <c r="BN46">
        <v>49.12</v>
      </c>
      <c r="BO46">
        <v>49.12</v>
      </c>
      <c r="BQ46" t="s">
        <v>396</v>
      </c>
      <c r="BR46" t="s">
        <v>389</v>
      </c>
      <c r="BS46" s="2">
        <v>43963</v>
      </c>
      <c r="BT46" s="3">
        <v>0.625</v>
      </c>
      <c r="BU46" t="s">
        <v>397</v>
      </c>
      <c r="BV46" t="s">
        <v>81</v>
      </c>
      <c r="BW46" t="s">
        <v>86</v>
      </c>
      <c r="BX46" t="s">
        <v>96</v>
      </c>
      <c r="BY46">
        <v>1200</v>
      </c>
      <c r="BZ46" t="s">
        <v>27</v>
      </c>
      <c r="CA46" t="s">
        <v>198</v>
      </c>
      <c r="CC46" t="s">
        <v>95</v>
      </c>
      <c r="CD46">
        <v>4000</v>
      </c>
      <c r="CE46" t="s">
        <v>80</v>
      </c>
      <c r="CF46" s="2">
        <v>43966</v>
      </c>
      <c r="CI46">
        <v>1</v>
      </c>
      <c r="CJ46">
        <v>1</v>
      </c>
      <c r="CK46">
        <v>21</v>
      </c>
      <c r="CL46" t="s">
        <v>81</v>
      </c>
    </row>
    <row r="47" spans="1:90" x14ac:dyDescent="0.25">
      <c r="A47" t="s">
        <v>239</v>
      </c>
      <c r="B47" t="s">
        <v>240</v>
      </c>
      <c r="C47" t="s">
        <v>72</v>
      </c>
      <c r="E47" t="str">
        <f>"009940084887"</f>
        <v>009940084887</v>
      </c>
      <c r="F47" s="2">
        <v>43962</v>
      </c>
      <c r="G47">
        <v>202011</v>
      </c>
      <c r="H47" t="s">
        <v>105</v>
      </c>
      <c r="I47" t="s">
        <v>106</v>
      </c>
      <c r="J47" t="s">
        <v>268</v>
      </c>
      <c r="K47" t="s">
        <v>75</v>
      </c>
      <c r="L47" t="s">
        <v>123</v>
      </c>
      <c r="M47" t="s">
        <v>92</v>
      </c>
      <c r="N47" t="s">
        <v>269</v>
      </c>
      <c r="O47" t="s">
        <v>103</v>
      </c>
      <c r="P47" t="str">
        <f>"110045304 460040              "</f>
        <v xml:space="preserve">110045304 460040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1.71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1.9</v>
      </c>
      <c r="BJ47">
        <v>4.7</v>
      </c>
      <c r="BK47">
        <v>5</v>
      </c>
      <c r="BL47">
        <v>92.42</v>
      </c>
      <c r="BM47">
        <v>13.86</v>
      </c>
      <c r="BN47">
        <v>106.28</v>
      </c>
      <c r="BO47">
        <v>106.28</v>
      </c>
      <c r="BQ47" t="s">
        <v>270</v>
      </c>
      <c r="BR47" t="s">
        <v>398</v>
      </c>
      <c r="BS47" s="2">
        <v>43964</v>
      </c>
      <c r="BT47" s="3">
        <v>0.47916666666666669</v>
      </c>
      <c r="BU47" t="s">
        <v>399</v>
      </c>
      <c r="BV47" t="s">
        <v>85</v>
      </c>
      <c r="BY47">
        <v>23387.9</v>
      </c>
      <c r="CA47" t="s">
        <v>129</v>
      </c>
      <c r="CC47" t="s">
        <v>92</v>
      </c>
      <c r="CD47">
        <v>7460</v>
      </c>
      <c r="CE47" t="s">
        <v>80</v>
      </c>
      <c r="CF47" s="2">
        <v>43965</v>
      </c>
      <c r="CI47">
        <v>2</v>
      </c>
      <c r="CJ47">
        <v>2</v>
      </c>
      <c r="CK47" t="s">
        <v>122</v>
      </c>
      <c r="CL47" t="s">
        <v>81</v>
      </c>
    </row>
    <row r="48" spans="1:90" x14ac:dyDescent="0.25">
      <c r="A48" t="s">
        <v>239</v>
      </c>
      <c r="B48" t="s">
        <v>240</v>
      </c>
      <c r="C48" t="s">
        <v>72</v>
      </c>
      <c r="E48" t="str">
        <f>"R009939929459"</f>
        <v>R009939929459</v>
      </c>
      <c r="F48" s="2">
        <v>43963</v>
      </c>
      <c r="G48">
        <v>202011</v>
      </c>
      <c r="H48" t="s">
        <v>94</v>
      </c>
      <c r="I48" t="s">
        <v>95</v>
      </c>
      <c r="J48" t="s">
        <v>400</v>
      </c>
      <c r="K48" t="s">
        <v>75</v>
      </c>
      <c r="L48" t="s">
        <v>91</v>
      </c>
      <c r="M48" t="s">
        <v>92</v>
      </c>
      <c r="N48" t="s">
        <v>236</v>
      </c>
      <c r="O48" t="s">
        <v>78</v>
      </c>
      <c r="P48" t="str">
        <f>"ESSENTIAL SERVICES            "</f>
        <v xml:space="preserve">ESSENTIAL SERVICES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1.05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1.9</v>
      </c>
      <c r="BJ48">
        <v>2.2000000000000002</v>
      </c>
      <c r="BK48">
        <v>2.5</v>
      </c>
      <c r="BL48">
        <v>53.38</v>
      </c>
      <c r="BM48">
        <v>8.01</v>
      </c>
      <c r="BN48">
        <v>61.39</v>
      </c>
      <c r="BO48">
        <v>61.39</v>
      </c>
      <c r="BQ48" t="s">
        <v>401</v>
      </c>
      <c r="BR48" t="s">
        <v>402</v>
      </c>
      <c r="BS48" s="2">
        <v>43966</v>
      </c>
      <c r="BT48" s="3">
        <v>0.41180555555555554</v>
      </c>
      <c r="BU48" t="s">
        <v>403</v>
      </c>
      <c r="BV48" t="s">
        <v>81</v>
      </c>
      <c r="BW48" t="s">
        <v>86</v>
      </c>
      <c r="BX48" t="s">
        <v>96</v>
      </c>
      <c r="BY48">
        <v>11162.97</v>
      </c>
      <c r="CA48" t="s">
        <v>404</v>
      </c>
      <c r="CC48" t="s">
        <v>92</v>
      </c>
      <c r="CD48">
        <v>7800</v>
      </c>
      <c r="CE48" t="s">
        <v>80</v>
      </c>
      <c r="CF48" s="2">
        <v>43969</v>
      </c>
      <c r="CI48">
        <v>1</v>
      </c>
      <c r="CJ48">
        <v>3</v>
      </c>
      <c r="CK48">
        <v>21</v>
      </c>
      <c r="CL48" t="s">
        <v>81</v>
      </c>
    </row>
    <row r="49" spans="1:90" x14ac:dyDescent="0.25">
      <c r="A49" t="s">
        <v>239</v>
      </c>
      <c r="B49" t="s">
        <v>240</v>
      </c>
      <c r="C49" t="s">
        <v>72</v>
      </c>
      <c r="E49" t="str">
        <f>"009939632144"</f>
        <v>009939632144</v>
      </c>
      <c r="F49" s="2">
        <v>43962</v>
      </c>
      <c r="G49">
        <v>202011</v>
      </c>
      <c r="H49" t="s">
        <v>148</v>
      </c>
      <c r="I49" t="s">
        <v>149</v>
      </c>
      <c r="J49" t="s">
        <v>405</v>
      </c>
      <c r="K49" t="s">
        <v>75</v>
      </c>
      <c r="L49" t="s">
        <v>91</v>
      </c>
      <c r="M49" t="s">
        <v>92</v>
      </c>
      <c r="N49" t="s">
        <v>406</v>
      </c>
      <c r="O49" t="s">
        <v>78</v>
      </c>
      <c r="P49" t="str">
        <f>"M                             "</f>
        <v xml:space="preserve">M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0.84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1</v>
      </c>
      <c r="BI49">
        <v>1</v>
      </c>
      <c r="BJ49">
        <v>1.2</v>
      </c>
      <c r="BK49">
        <v>1.5</v>
      </c>
      <c r="BL49">
        <v>42.71</v>
      </c>
      <c r="BM49">
        <v>6.41</v>
      </c>
      <c r="BN49">
        <v>49.12</v>
      </c>
      <c r="BO49">
        <v>49.12</v>
      </c>
      <c r="BS49" s="2">
        <v>43966</v>
      </c>
      <c r="BT49" s="3">
        <v>0.35416666666666669</v>
      </c>
      <c r="BU49" t="s">
        <v>407</v>
      </c>
      <c r="BV49" t="s">
        <v>81</v>
      </c>
      <c r="BW49" t="s">
        <v>100</v>
      </c>
      <c r="BX49" t="s">
        <v>408</v>
      </c>
      <c r="BY49">
        <v>6000</v>
      </c>
      <c r="BZ49" t="s">
        <v>27</v>
      </c>
      <c r="CC49" t="s">
        <v>92</v>
      </c>
      <c r="CD49">
        <v>8000</v>
      </c>
      <c r="CE49" t="s">
        <v>80</v>
      </c>
      <c r="CF49" s="2">
        <v>43969</v>
      </c>
      <c r="CI49">
        <v>1</v>
      </c>
      <c r="CJ49">
        <v>4</v>
      </c>
      <c r="CK49">
        <v>21</v>
      </c>
      <c r="CL49" t="s">
        <v>81</v>
      </c>
    </row>
    <row r="50" spans="1:90" x14ac:dyDescent="0.25">
      <c r="A50" t="s">
        <v>239</v>
      </c>
      <c r="B50" t="s">
        <v>240</v>
      </c>
      <c r="C50" t="s">
        <v>72</v>
      </c>
      <c r="E50" t="str">
        <f>"009939929420"</f>
        <v>009939929420</v>
      </c>
      <c r="F50" s="2">
        <v>43963</v>
      </c>
      <c r="G50">
        <v>202011</v>
      </c>
      <c r="H50" t="s">
        <v>91</v>
      </c>
      <c r="I50" t="s">
        <v>92</v>
      </c>
      <c r="J50" t="s">
        <v>236</v>
      </c>
      <c r="K50" t="s">
        <v>75</v>
      </c>
      <c r="L50" t="s">
        <v>221</v>
      </c>
      <c r="M50" t="s">
        <v>222</v>
      </c>
      <c r="N50" t="s">
        <v>409</v>
      </c>
      <c r="O50" t="s">
        <v>103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2.04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1</v>
      </c>
      <c r="BI50">
        <v>8</v>
      </c>
      <c r="BJ50">
        <v>7.7</v>
      </c>
      <c r="BK50">
        <v>8</v>
      </c>
      <c r="BL50">
        <v>109.1</v>
      </c>
      <c r="BM50">
        <v>16.37</v>
      </c>
      <c r="BN50">
        <v>125.47</v>
      </c>
      <c r="BO50">
        <v>125.47</v>
      </c>
      <c r="BQ50" t="s">
        <v>410</v>
      </c>
      <c r="BR50" t="s">
        <v>411</v>
      </c>
      <c r="BS50" s="2">
        <v>43969</v>
      </c>
      <c r="BT50" s="3">
        <v>0.44930555555555557</v>
      </c>
      <c r="BU50" t="s">
        <v>165</v>
      </c>
      <c r="BV50" t="s">
        <v>81</v>
      </c>
      <c r="BY50">
        <v>38400</v>
      </c>
      <c r="CA50" t="s">
        <v>412</v>
      </c>
      <c r="CC50" t="s">
        <v>222</v>
      </c>
      <c r="CD50">
        <v>1201</v>
      </c>
      <c r="CE50" t="s">
        <v>80</v>
      </c>
      <c r="CF50" s="2">
        <v>43971</v>
      </c>
      <c r="CI50">
        <v>3</v>
      </c>
      <c r="CJ50">
        <v>4</v>
      </c>
      <c r="CK50" t="s">
        <v>177</v>
      </c>
      <c r="CL50" t="s">
        <v>81</v>
      </c>
    </row>
    <row r="51" spans="1:90" x14ac:dyDescent="0.25">
      <c r="A51" t="s">
        <v>239</v>
      </c>
      <c r="B51" t="s">
        <v>240</v>
      </c>
      <c r="C51" t="s">
        <v>72</v>
      </c>
      <c r="E51" t="str">
        <f>"009939302501"</f>
        <v>009939302501</v>
      </c>
      <c r="F51" s="2">
        <v>43964</v>
      </c>
      <c r="G51">
        <v>202011</v>
      </c>
      <c r="H51" t="s">
        <v>82</v>
      </c>
      <c r="I51" t="s">
        <v>83</v>
      </c>
      <c r="J51" t="s">
        <v>236</v>
      </c>
      <c r="K51" t="s">
        <v>75</v>
      </c>
      <c r="L51" t="s">
        <v>131</v>
      </c>
      <c r="M51" t="s">
        <v>132</v>
      </c>
      <c r="N51" t="s">
        <v>413</v>
      </c>
      <c r="O51" t="s">
        <v>103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7.51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2</v>
      </c>
      <c r="BI51">
        <v>15.5</v>
      </c>
      <c r="BJ51">
        <v>18.399999999999999</v>
      </c>
      <c r="BK51">
        <v>94</v>
      </c>
      <c r="BL51">
        <v>388.15</v>
      </c>
      <c r="BM51">
        <v>58.22</v>
      </c>
      <c r="BN51">
        <v>446.37</v>
      </c>
      <c r="BO51">
        <v>446.37</v>
      </c>
      <c r="BS51" s="2">
        <v>43970</v>
      </c>
      <c r="BT51" s="3">
        <v>0.5444444444444444</v>
      </c>
      <c r="BU51" t="s">
        <v>114</v>
      </c>
      <c r="BV51" t="s">
        <v>81</v>
      </c>
      <c r="BW51" t="s">
        <v>100</v>
      </c>
      <c r="BX51" t="s">
        <v>181</v>
      </c>
      <c r="BY51">
        <v>182660.87</v>
      </c>
      <c r="CC51" t="s">
        <v>132</v>
      </c>
      <c r="CD51">
        <v>1682</v>
      </c>
      <c r="CE51" t="s">
        <v>226</v>
      </c>
      <c r="CF51" s="2">
        <v>43971</v>
      </c>
      <c r="CI51">
        <v>2</v>
      </c>
      <c r="CJ51">
        <v>4</v>
      </c>
      <c r="CK51" t="s">
        <v>122</v>
      </c>
      <c r="CL51" t="s">
        <v>81</v>
      </c>
    </row>
    <row r="52" spans="1:90" x14ac:dyDescent="0.25">
      <c r="A52" t="s">
        <v>239</v>
      </c>
      <c r="B52" t="s">
        <v>240</v>
      </c>
      <c r="C52" t="s">
        <v>72</v>
      </c>
      <c r="E52" t="str">
        <f>"080002576273"</f>
        <v>080002576273</v>
      </c>
      <c r="F52" s="2">
        <v>43964</v>
      </c>
      <c r="G52">
        <v>202011</v>
      </c>
      <c r="H52" t="s">
        <v>131</v>
      </c>
      <c r="I52" t="s">
        <v>132</v>
      </c>
      <c r="J52" t="s">
        <v>254</v>
      </c>
      <c r="K52" t="s">
        <v>75</v>
      </c>
      <c r="L52" t="s">
        <v>82</v>
      </c>
      <c r="M52" t="s">
        <v>83</v>
      </c>
      <c r="N52" t="s">
        <v>255</v>
      </c>
      <c r="O52" t="s">
        <v>103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3.84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2</v>
      </c>
      <c r="BI52">
        <v>19.399999999999999</v>
      </c>
      <c r="BJ52">
        <v>44</v>
      </c>
      <c r="BK52">
        <v>44</v>
      </c>
      <c r="BL52">
        <v>200.98</v>
      </c>
      <c r="BM52">
        <v>30.15</v>
      </c>
      <c r="BN52">
        <v>231.13</v>
      </c>
      <c r="BO52">
        <v>231.13</v>
      </c>
      <c r="BQ52" t="s">
        <v>256</v>
      </c>
      <c r="BR52" t="s">
        <v>414</v>
      </c>
      <c r="BS52" s="2">
        <v>43966</v>
      </c>
      <c r="BT52" s="3">
        <v>0.48749999999999999</v>
      </c>
      <c r="BU52" t="s">
        <v>347</v>
      </c>
      <c r="BV52" t="s">
        <v>85</v>
      </c>
      <c r="BY52">
        <v>219824.15</v>
      </c>
      <c r="CA52" t="s">
        <v>84</v>
      </c>
      <c r="CC52" t="s">
        <v>83</v>
      </c>
      <c r="CD52">
        <v>6001</v>
      </c>
      <c r="CE52" t="s">
        <v>415</v>
      </c>
      <c r="CF52" s="2">
        <v>43970</v>
      </c>
      <c r="CI52">
        <v>2</v>
      </c>
      <c r="CJ52">
        <v>2</v>
      </c>
      <c r="CK52" t="s">
        <v>122</v>
      </c>
      <c r="CL52" t="s">
        <v>81</v>
      </c>
    </row>
    <row r="53" spans="1:90" x14ac:dyDescent="0.25">
      <c r="A53" t="s">
        <v>239</v>
      </c>
      <c r="B53" t="s">
        <v>240</v>
      </c>
      <c r="C53" t="s">
        <v>72</v>
      </c>
      <c r="E53" t="str">
        <f>"009940025565"</f>
        <v>009940025565</v>
      </c>
      <c r="F53" s="2">
        <v>43957</v>
      </c>
      <c r="G53">
        <v>202011</v>
      </c>
      <c r="H53" t="s">
        <v>91</v>
      </c>
      <c r="I53" t="s">
        <v>92</v>
      </c>
      <c r="J53" t="s">
        <v>416</v>
      </c>
      <c r="K53" t="s">
        <v>75</v>
      </c>
      <c r="L53" t="s">
        <v>82</v>
      </c>
      <c r="M53" t="s">
        <v>83</v>
      </c>
      <c r="N53" t="s">
        <v>417</v>
      </c>
      <c r="O53" t="s">
        <v>103</v>
      </c>
      <c r="P53" t="str">
        <f>"11942270FM                    "</f>
        <v xml:space="preserve">11942270FM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1.7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0.5</v>
      </c>
      <c r="BJ53">
        <v>0.2</v>
      </c>
      <c r="BK53">
        <v>1</v>
      </c>
      <c r="BL53">
        <v>91.74</v>
      </c>
      <c r="BM53">
        <v>13.76</v>
      </c>
      <c r="BN53">
        <v>105.5</v>
      </c>
      <c r="BO53">
        <v>105.5</v>
      </c>
      <c r="BQ53" t="s">
        <v>418</v>
      </c>
      <c r="BR53" t="s">
        <v>419</v>
      </c>
      <c r="BS53" s="2">
        <v>43962</v>
      </c>
      <c r="BT53" s="3">
        <v>0.48402777777777778</v>
      </c>
      <c r="BU53" t="s">
        <v>195</v>
      </c>
      <c r="BV53" t="s">
        <v>81</v>
      </c>
      <c r="BW53" t="s">
        <v>86</v>
      </c>
      <c r="BX53" t="s">
        <v>87</v>
      </c>
      <c r="BY53">
        <v>1200</v>
      </c>
      <c r="CA53" t="s">
        <v>84</v>
      </c>
      <c r="CC53" t="s">
        <v>83</v>
      </c>
      <c r="CD53">
        <v>6045</v>
      </c>
      <c r="CE53" t="s">
        <v>231</v>
      </c>
      <c r="CF53" s="2">
        <v>43963</v>
      </c>
      <c r="CI53">
        <v>2</v>
      </c>
      <c r="CJ53">
        <v>3</v>
      </c>
      <c r="CK53" t="s">
        <v>191</v>
      </c>
      <c r="CL53" t="s">
        <v>81</v>
      </c>
    </row>
    <row r="54" spans="1:90" x14ac:dyDescent="0.25">
      <c r="A54" t="s">
        <v>239</v>
      </c>
      <c r="B54" t="s">
        <v>240</v>
      </c>
      <c r="C54" t="s">
        <v>72</v>
      </c>
      <c r="E54" t="str">
        <f>"019911530934"</f>
        <v>019911530934</v>
      </c>
      <c r="F54" s="2">
        <v>43965</v>
      </c>
      <c r="G54">
        <v>202011</v>
      </c>
      <c r="H54" t="s">
        <v>91</v>
      </c>
      <c r="I54" t="s">
        <v>92</v>
      </c>
      <c r="J54" t="s">
        <v>259</v>
      </c>
      <c r="K54" t="s">
        <v>75</v>
      </c>
      <c r="L54" t="s">
        <v>420</v>
      </c>
      <c r="M54" t="s">
        <v>421</v>
      </c>
      <c r="N54" t="s">
        <v>422</v>
      </c>
      <c r="O54" t="s">
        <v>188</v>
      </c>
      <c r="P54" t="str">
        <f>"11912276FM                    "</f>
        <v xml:space="preserve">11912276FM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1.62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0.6</v>
      </c>
      <c r="BJ54">
        <v>1.8</v>
      </c>
      <c r="BK54">
        <v>2</v>
      </c>
      <c r="BL54">
        <v>82.74</v>
      </c>
      <c r="BM54">
        <v>12.41</v>
      </c>
      <c r="BN54">
        <v>95.15</v>
      </c>
      <c r="BO54">
        <v>95.15</v>
      </c>
      <c r="BR54" t="s">
        <v>419</v>
      </c>
      <c r="BS54" s="2">
        <v>43971</v>
      </c>
      <c r="BT54" s="3">
        <v>0.59305555555555556</v>
      </c>
      <c r="BU54" t="s">
        <v>423</v>
      </c>
      <c r="BV54" t="s">
        <v>81</v>
      </c>
      <c r="BW54" t="s">
        <v>134</v>
      </c>
      <c r="BX54" t="s">
        <v>135</v>
      </c>
      <c r="BY54">
        <v>9146.41</v>
      </c>
      <c r="BZ54" t="s">
        <v>27</v>
      </c>
      <c r="CA54" t="s">
        <v>138</v>
      </c>
      <c r="CC54" t="s">
        <v>421</v>
      </c>
      <c r="CD54">
        <v>8240</v>
      </c>
      <c r="CE54" t="s">
        <v>80</v>
      </c>
      <c r="CF54" s="2">
        <v>43977</v>
      </c>
      <c r="CI54">
        <v>2</v>
      </c>
      <c r="CJ54">
        <v>4</v>
      </c>
      <c r="CK54">
        <v>33</v>
      </c>
      <c r="CL54" t="s">
        <v>81</v>
      </c>
    </row>
    <row r="55" spans="1:90" x14ac:dyDescent="0.25">
      <c r="A55" t="s">
        <v>239</v>
      </c>
      <c r="B55" t="s">
        <v>240</v>
      </c>
      <c r="C55" t="s">
        <v>72</v>
      </c>
      <c r="E55" t="str">
        <f>"009940073297"</f>
        <v>009940073297</v>
      </c>
      <c r="F55" s="2">
        <v>43965</v>
      </c>
      <c r="G55">
        <v>202011</v>
      </c>
      <c r="H55" t="s">
        <v>91</v>
      </c>
      <c r="I55" t="s">
        <v>92</v>
      </c>
      <c r="J55" t="s">
        <v>236</v>
      </c>
      <c r="K55" t="s">
        <v>75</v>
      </c>
      <c r="L55" t="s">
        <v>193</v>
      </c>
      <c r="M55" t="s">
        <v>194</v>
      </c>
      <c r="N55" t="s">
        <v>424</v>
      </c>
      <c r="O55" t="s">
        <v>78</v>
      </c>
      <c r="P55" t="str">
        <f t="shared" ref="P55:P62" si="0">"NA                            "</f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6.49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1</v>
      </c>
      <c r="BI55">
        <v>15.4</v>
      </c>
      <c r="BJ55">
        <v>14.9</v>
      </c>
      <c r="BK55">
        <v>15.5</v>
      </c>
      <c r="BL55">
        <v>330.78</v>
      </c>
      <c r="BM55">
        <v>49.62</v>
      </c>
      <c r="BN55">
        <v>380.4</v>
      </c>
      <c r="BO55">
        <v>380.4</v>
      </c>
      <c r="BQ55" t="s">
        <v>425</v>
      </c>
      <c r="BR55" t="s">
        <v>250</v>
      </c>
      <c r="BS55" s="2">
        <v>43966</v>
      </c>
      <c r="BT55" s="3">
        <v>0.41666666666666669</v>
      </c>
      <c r="BU55" t="s">
        <v>175</v>
      </c>
      <c r="BV55" t="s">
        <v>85</v>
      </c>
      <c r="BY55">
        <v>74734.8</v>
      </c>
      <c r="BZ55" t="s">
        <v>27</v>
      </c>
      <c r="CA55" t="s">
        <v>220</v>
      </c>
      <c r="CC55" t="s">
        <v>194</v>
      </c>
      <c r="CD55">
        <v>699</v>
      </c>
      <c r="CE55" t="s">
        <v>315</v>
      </c>
      <c r="CF55" s="2">
        <v>43967</v>
      </c>
      <c r="CI55">
        <v>1</v>
      </c>
      <c r="CJ55">
        <v>1</v>
      </c>
      <c r="CK55">
        <v>21</v>
      </c>
      <c r="CL55" t="s">
        <v>81</v>
      </c>
    </row>
    <row r="56" spans="1:90" x14ac:dyDescent="0.25">
      <c r="A56" t="s">
        <v>239</v>
      </c>
      <c r="B56" t="s">
        <v>240</v>
      </c>
      <c r="C56" t="s">
        <v>72</v>
      </c>
      <c r="E56" t="str">
        <f>"009940073299"</f>
        <v>009940073299</v>
      </c>
      <c r="F56" s="2">
        <v>43965</v>
      </c>
      <c r="G56">
        <v>202011</v>
      </c>
      <c r="H56" t="s">
        <v>91</v>
      </c>
      <c r="I56" t="s">
        <v>92</v>
      </c>
      <c r="J56" t="s">
        <v>236</v>
      </c>
      <c r="K56" t="s">
        <v>75</v>
      </c>
      <c r="L56" t="s">
        <v>127</v>
      </c>
      <c r="M56" t="s">
        <v>128</v>
      </c>
      <c r="N56" t="s">
        <v>426</v>
      </c>
      <c r="O56" t="s">
        <v>78</v>
      </c>
      <c r="P56" t="str">
        <f t="shared" si="0"/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5.86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13.9</v>
      </c>
      <c r="BJ56">
        <v>13.8</v>
      </c>
      <c r="BK56">
        <v>14</v>
      </c>
      <c r="BL56">
        <v>298.77</v>
      </c>
      <c r="BM56">
        <v>44.82</v>
      </c>
      <c r="BN56">
        <v>343.59</v>
      </c>
      <c r="BO56">
        <v>343.59</v>
      </c>
      <c r="BQ56" t="s">
        <v>427</v>
      </c>
      <c r="BR56" t="s">
        <v>250</v>
      </c>
      <c r="BS56" s="2">
        <v>43966</v>
      </c>
      <c r="BT56" s="3">
        <v>0.40347222222222223</v>
      </c>
      <c r="BU56" t="s">
        <v>428</v>
      </c>
      <c r="BV56" t="s">
        <v>85</v>
      </c>
      <c r="BY56">
        <v>68832</v>
      </c>
      <c r="BZ56" t="s">
        <v>27</v>
      </c>
      <c r="CC56" t="s">
        <v>128</v>
      </c>
      <c r="CD56">
        <v>2158</v>
      </c>
      <c r="CE56" t="s">
        <v>315</v>
      </c>
      <c r="CF56" s="2">
        <v>43967</v>
      </c>
      <c r="CI56">
        <v>1</v>
      </c>
      <c r="CJ56">
        <v>1</v>
      </c>
      <c r="CK56">
        <v>21</v>
      </c>
      <c r="CL56" t="s">
        <v>81</v>
      </c>
    </row>
    <row r="57" spans="1:90" x14ac:dyDescent="0.25">
      <c r="A57" t="s">
        <v>239</v>
      </c>
      <c r="B57" t="s">
        <v>240</v>
      </c>
      <c r="C57" t="s">
        <v>72</v>
      </c>
      <c r="E57" t="str">
        <f>"009940073302"</f>
        <v>009940073302</v>
      </c>
      <c r="F57" s="2">
        <v>43965</v>
      </c>
      <c r="G57">
        <v>202011</v>
      </c>
      <c r="H57" t="s">
        <v>91</v>
      </c>
      <c r="I57" t="s">
        <v>92</v>
      </c>
      <c r="J57" t="s">
        <v>236</v>
      </c>
      <c r="K57" t="s">
        <v>75</v>
      </c>
      <c r="L57" t="s">
        <v>105</v>
      </c>
      <c r="M57" t="s">
        <v>106</v>
      </c>
      <c r="N57" t="s">
        <v>429</v>
      </c>
      <c r="O57" t="s">
        <v>78</v>
      </c>
      <c r="P57" t="str">
        <f t="shared" si="0"/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6.7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15.5</v>
      </c>
      <c r="BJ57">
        <v>15.9</v>
      </c>
      <c r="BK57">
        <v>16</v>
      </c>
      <c r="BL57">
        <v>341.45</v>
      </c>
      <c r="BM57">
        <v>51.22</v>
      </c>
      <c r="BN57">
        <v>392.67</v>
      </c>
      <c r="BO57">
        <v>392.67</v>
      </c>
      <c r="BQ57" t="s">
        <v>430</v>
      </c>
      <c r="BR57" t="s">
        <v>250</v>
      </c>
      <c r="BS57" s="2">
        <v>43966</v>
      </c>
      <c r="BT57" s="3">
        <v>0.34027777777777773</v>
      </c>
      <c r="BU57" t="s">
        <v>431</v>
      </c>
      <c r="BV57" t="s">
        <v>85</v>
      </c>
      <c r="BY57">
        <v>79472.28</v>
      </c>
      <c r="BZ57" t="s">
        <v>27</v>
      </c>
      <c r="CA57" t="s">
        <v>151</v>
      </c>
      <c r="CC57" t="s">
        <v>106</v>
      </c>
      <c r="CD57">
        <v>2092</v>
      </c>
      <c r="CE57" t="s">
        <v>315</v>
      </c>
      <c r="CF57" s="2">
        <v>43967</v>
      </c>
      <c r="CI57">
        <v>1</v>
      </c>
      <c r="CJ57">
        <v>1</v>
      </c>
      <c r="CK57">
        <v>21</v>
      </c>
      <c r="CL57" t="s">
        <v>81</v>
      </c>
    </row>
    <row r="58" spans="1:90" x14ac:dyDescent="0.25">
      <c r="A58" t="s">
        <v>239</v>
      </c>
      <c r="B58" t="s">
        <v>240</v>
      </c>
      <c r="C58" t="s">
        <v>72</v>
      </c>
      <c r="E58" t="str">
        <f>"009940073270"</f>
        <v>009940073270</v>
      </c>
      <c r="F58" s="2">
        <v>43965</v>
      </c>
      <c r="G58">
        <v>202011</v>
      </c>
      <c r="H58" t="s">
        <v>91</v>
      </c>
      <c r="I58" t="s">
        <v>92</v>
      </c>
      <c r="J58" t="s">
        <v>236</v>
      </c>
      <c r="K58" t="s">
        <v>75</v>
      </c>
      <c r="L58" t="s">
        <v>105</v>
      </c>
      <c r="M58" t="s">
        <v>106</v>
      </c>
      <c r="N58" t="s">
        <v>190</v>
      </c>
      <c r="O58" t="s">
        <v>78</v>
      </c>
      <c r="P58" t="str">
        <f t="shared" si="0"/>
        <v xml:space="preserve">NA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1.05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2.2999999999999998</v>
      </c>
      <c r="BJ58">
        <v>2.5</v>
      </c>
      <c r="BK58">
        <v>2.5</v>
      </c>
      <c r="BL58">
        <v>53.38</v>
      </c>
      <c r="BM58">
        <v>8.01</v>
      </c>
      <c r="BN58">
        <v>61.39</v>
      </c>
      <c r="BO58">
        <v>61.39</v>
      </c>
      <c r="BQ58" t="s">
        <v>432</v>
      </c>
      <c r="BR58" t="s">
        <v>250</v>
      </c>
      <c r="BS58" s="2">
        <v>43966</v>
      </c>
      <c r="BT58" s="3">
        <v>0.41666666666666669</v>
      </c>
      <c r="BU58" t="s">
        <v>433</v>
      </c>
      <c r="BV58" t="s">
        <v>85</v>
      </c>
      <c r="BY58">
        <v>12296.55</v>
      </c>
      <c r="BZ58" t="s">
        <v>27</v>
      </c>
      <c r="CC58" t="s">
        <v>106</v>
      </c>
      <c r="CD58">
        <v>2196</v>
      </c>
      <c r="CE58" t="s">
        <v>231</v>
      </c>
      <c r="CF58" s="2">
        <v>43967</v>
      </c>
      <c r="CI58">
        <v>1</v>
      </c>
      <c r="CJ58">
        <v>1</v>
      </c>
      <c r="CK58">
        <v>21</v>
      </c>
      <c r="CL58" t="s">
        <v>81</v>
      </c>
    </row>
    <row r="59" spans="1:90" x14ac:dyDescent="0.25">
      <c r="A59" t="s">
        <v>239</v>
      </c>
      <c r="B59" t="s">
        <v>240</v>
      </c>
      <c r="C59" t="s">
        <v>72</v>
      </c>
      <c r="E59" t="str">
        <f>"009940073301"</f>
        <v>009940073301</v>
      </c>
      <c r="F59" s="2">
        <v>43965</v>
      </c>
      <c r="G59">
        <v>202011</v>
      </c>
      <c r="H59" t="s">
        <v>91</v>
      </c>
      <c r="I59" t="s">
        <v>92</v>
      </c>
      <c r="J59" t="s">
        <v>236</v>
      </c>
      <c r="K59" t="s">
        <v>75</v>
      </c>
      <c r="L59" t="s">
        <v>94</v>
      </c>
      <c r="M59" t="s">
        <v>95</v>
      </c>
      <c r="N59" t="s">
        <v>434</v>
      </c>
      <c r="O59" t="s">
        <v>78</v>
      </c>
      <c r="P59" t="str">
        <f t="shared" si="0"/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7.32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</v>
      </c>
      <c r="BI59">
        <v>15.8</v>
      </c>
      <c r="BJ59">
        <v>17.2</v>
      </c>
      <c r="BK59">
        <v>17.5</v>
      </c>
      <c r="BL59">
        <v>373.45</v>
      </c>
      <c r="BM59">
        <v>56.02</v>
      </c>
      <c r="BN59">
        <v>429.47</v>
      </c>
      <c r="BO59">
        <v>429.47</v>
      </c>
      <c r="BQ59" t="s">
        <v>435</v>
      </c>
      <c r="BR59" t="s">
        <v>250</v>
      </c>
      <c r="BS59" s="2">
        <v>43969</v>
      </c>
      <c r="BT59" s="3">
        <v>0.43541666666666662</v>
      </c>
      <c r="BU59" t="s">
        <v>436</v>
      </c>
      <c r="BV59" t="s">
        <v>81</v>
      </c>
      <c r="BW59" t="s">
        <v>86</v>
      </c>
      <c r="BX59" t="s">
        <v>96</v>
      </c>
      <c r="BY59">
        <v>86006.399999999994</v>
      </c>
      <c r="BZ59" t="s">
        <v>27</v>
      </c>
      <c r="CA59" t="s">
        <v>182</v>
      </c>
      <c r="CC59" t="s">
        <v>95</v>
      </c>
      <c r="CD59">
        <v>4091</v>
      </c>
      <c r="CE59" t="s">
        <v>315</v>
      </c>
      <c r="CF59" s="2">
        <v>43970</v>
      </c>
      <c r="CI59">
        <v>1</v>
      </c>
      <c r="CJ59">
        <v>2</v>
      </c>
      <c r="CK59">
        <v>21</v>
      </c>
      <c r="CL59" t="s">
        <v>81</v>
      </c>
    </row>
    <row r="60" spans="1:90" x14ac:dyDescent="0.25">
      <c r="A60" t="s">
        <v>239</v>
      </c>
      <c r="B60" t="s">
        <v>240</v>
      </c>
      <c r="C60" t="s">
        <v>72</v>
      </c>
      <c r="E60" t="str">
        <f>"009940073298"</f>
        <v>009940073298</v>
      </c>
      <c r="F60" s="2">
        <v>43965</v>
      </c>
      <c r="G60">
        <v>202011</v>
      </c>
      <c r="H60" t="s">
        <v>91</v>
      </c>
      <c r="I60" t="s">
        <v>92</v>
      </c>
      <c r="J60" t="s">
        <v>236</v>
      </c>
      <c r="K60" t="s">
        <v>75</v>
      </c>
      <c r="L60" t="s">
        <v>148</v>
      </c>
      <c r="M60" t="s">
        <v>149</v>
      </c>
      <c r="N60" t="s">
        <v>437</v>
      </c>
      <c r="O60" t="s">
        <v>78</v>
      </c>
      <c r="P60" t="str">
        <f t="shared" si="0"/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6.7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1</v>
      </c>
      <c r="BI60">
        <v>16</v>
      </c>
      <c r="BJ60">
        <v>15.2</v>
      </c>
      <c r="BK60">
        <v>16</v>
      </c>
      <c r="BL60">
        <v>341.45</v>
      </c>
      <c r="BM60">
        <v>51.22</v>
      </c>
      <c r="BN60">
        <v>392.67</v>
      </c>
      <c r="BO60">
        <v>392.67</v>
      </c>
      <c r="BQ60" t="s">
        <v>438</v>
      </c>
      <c r="BR60" t="s">
        <v>250</v>
      </c>
      <c r="BS60" s="2">
        <v>43969</v>
      </c>
      <c r="BT60" s="3">
        <v>0.40277777777777773</v>
      </c>
      <c r="BU60" t="s">
        <v>439</v>
      </c>
      <c r="BV60" t="s">
        <v>81</v>
      </c>
      <c r="BW60" t="s">
        <v>124</v>
      </c>
      <c r="BX60" t="s">
        <v>180</v>
      </c>
      <c r="BY60">
        <v>75950</v>
      </c>
      <c r="BZ60" t="s">
        <v>27</v>
      </c>
      <c r="CC60" t="s">
        <v>149</v>
      </c>
      <c r="CD60">
        <v>3201</v>
      </c>
      <c r="CE60" t="s">
        <v>315</v>
      </c>
      <c r="CF60" s="2">
        <v>43970</v>
      </c>
      <c r="CI60">
        <v>1</v>
      </c>
      <c r="CJ60">
        <v>2</v>
      </c>
      <c r="CK60">
        <v>21</v>
      </c>
      <c r="CL60" t="s">
        <v>81</v>
      </c>
    </row>
    <row r="61" spans="1:90" x14ac:dyDescent="0.25">
      <c r="A61" t="s">
        <v>239</v>
      </c>
      <c r="B61" t="s">
        <v>240</v>
      </c>
      <c r="C61" t="s">
        <v>72</v>
      </c>
      <c r="E61" t="str">
        <f>"009940073300"</f>
        <v>009940073300</v>
      </c>
      <c r="F61" s="2">
        <v>43965</v>
      </c>
      <c r="G61">
        <v>202011</v>
      </c>
      <c r="H61" t="s">
        <v>91</v>
      </c>
      <c r="I61" t="s">
        <v>92</v>
      </c>
      <c r="J61" t="s">
        <v>236</v>
      </c>
      <c r="K61" t="s">
        <v>75</v>
      </c>
      <c r="L61" t="s">
        <v>112</v>
      </c>
      <c r="M61" t="s">
        <v>113</v>
      </c>
      <c r="N61" t="s">
        <v>440</v>
      </c>
      <c r="O61" t="s">
        <v>78</v>
      </c>
      <c r="P61" t="str">
        <f t="shared" si="0"/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6.7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1</v>
      </c>
      <c r="BI61">
        <v>16</v>
      </c>
      <c r="BJ61">
        <v>15.1</v>
      </c>
      <c r="BK61">
        <v>16</v>
      </c>
      <c r="BL61">
        <v>341.45</v>
      </c>
      <c r="BM61">
        <v>51.22</v>
      </c>
      <c r="BN61">
        <v>392.67</v>
      </c>
      <c r="BO61">
        <v>392.67</v>
      </c>
      <c r="BQ61" t="s">
        <v>441</v>
      </c>
      <c r="BR61" t="s">
        <v>250</v>
      </c>
      <c r="BS61" s="2">
        <v>43966</v>
      </c>
      <c r="BT61" s="3">
        <v>0.40972222222222227</v>
      </c>
      <c r="BU61" t="s">
        <v>442</v>
      </c>
      <c r="BV61" t="s">
        <v>85</v>
      </c>
      <c r="BY61">
        <v>75628.800000000003</v>
      </c>
      <c r="BZ61" t="s">
        <v>27</v>
      </c>
      <c r="CC61" t="s">
        <v>113</v>
      </c>
      <c r="CD61">
        <v>1501</v>
      </c>
      <c r="CE61" t="s">
        <v>315</v>
      </c>
      <c r="CF61" s="2">
        <v>43967</v>
      </c>
      <c r="CI61">
        <v>1</v>
      </c>
      <c r="CJ61">
        <v>1</v>
      </c>
      <c r="CK61">
        <v>21</v>
      </c>
      <c r="CL61" t="s">
        <v>81</v>
      </c>
    </row>
    <row r="62" spans="1:90" x14ac:dyDescent="0.25">
      <c r="A62" t="s">
        <v>239</v>
      </c>
      <c r="B62" t="s">
        <v>240</v>
      </c>
      <c r="C62" t="s">
        <v>72</v>
      </c>
      <c r="E62" t="str">
        <f>"019911022081"</f>
        <v>019911022081</v>
      </c>
      <c r="F62" s="2">
        <v>43965</v>
      </c>
      <c r="G62">
        <v>202011</v>
      </c>
      <c r="H62" t="s">
        <v>91</v>
      </c>
      <c r="I62" t="s">
        <v>92</v>
      </c>
      <c r="J62" t="s">
        <v>236</v>
      </c>
      <c r="K62" t="s">
        <v>75</v>
      </c>
      <c r="L62" t="s">
        <v>105</v>
      </c>
      <c r="M62" t="s">
        <v>106</v>
      </c>
      <c r="N62" t="s">
        <v>443</v>
      </c>
      <c r="O62" t="s">
        <v>103</v>
      </c>
      <c r="P62" t="str">
        <f t="shared" si="0"/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1.71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2.8</v>
      </c>
      <c r="BJ62">
        <v>3</v>
      </c>
      <c r="BK62">
        <v>3</v>
      </c>
      <c r="BL62">
        <v>92.42</v>
      </c>
      <c r="BM62">
        <v>13.86</v>
      </c>
      <c r="BN62">
        <v>106.28</v>
      </c>
      <c r="BO62">
        <v>106.28</v>
      </c>
      <c r="BQ62" t="s">
        <v>444</v>
      </c>
      <c r="BR62" t="s">
        <v>411</v>
      </c>
      <c r="BS62" s="2">
        <v>43969</v>
      </c>
      <c r="BT62" s="3">
        <v>0.49305555555555558</v>
      </c>
      <c r="BU62" t="s">
        <v>445</v>
      </c>
      <c r="BV62" t="s">
        <v>85</v>
      </c>
      <c r="BY62">
        <v>14945.4</v>
      </c>
      <c r="CC62" t="s">
        <v>106</v>
      </c>
      <c r="CD62">
        <v>2196</v>
      </c>
      <c r="CE62" t="s">
        <v>80</v>
      </c>
      <c r="CF62" s="2">
        <v>43970</v>
      </c>
      <c r="CI62">
        <v>2</v>
      </c>
      <c r="CJ62">
        <v>2</v>
      </c>
      <c r="CK62" t="s">
        <v>122</v>
      </c>
      <c r="CL62" t="s">
        <v>81</v>
      </c>
    </row>
    <row r="63" spans="1:90" x14ac:dyDescent="0.25">
      <c r="A63" t="s">
        <v>239</v>
      </c>
      <c r="B63" t="s">
        <v>240</v>
      </c>
      <c r="C63" t="s">
        <v>72</v>
      </c>
      <c r="E63" t="str">
        <f>"019911530935"</f>
        <v>019911530935</v>
      </c>
      <c r="F63" s="2">
        <v>43970</v>
      </c>
      <c r="G63">
        <v>202011</v>
      </c>
      <c r="H63" t="s">
        <v>91</v>
      </c>
      <c r="I63" t="s">
        <v>92</v>
      </c>
      <c r="J63" t="s">
        <v>416</v>
      </c>
      <c r="K63" t="s">
        <v>75</v>
      </c>
      <c r="L63" t="s">
        <v>105</v>
      </c>
      <c r="M63" t="s">
        <v>106</v>
      </c>
      <c r="N63" t="s">
        <v>190</v>
      </c>
      <c r="O63" t="s">
        <v>103</v>
      </c>
      <c r="P63" t="str">
        <f>"11922270FM                    "</f>
        <v xml:space="preserve">11922270FM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1.71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92.42</v>
      </c>
      <c r="BM63">
        <v>13.86</v>
      </c>
      <c r="BN63">
        <v>106.28</v>
      </c>
      <c r="BO63">
        <v>106.28</v>
      </c>
      <c r="BQ63" t="s">
        <v>446</v>
      </c>
      <c r="BR63" t="s">
        <v>290</v>
      </c>
      <c r="BS63" s="2">
        <v>43971</v>
      </c>
      <c r="BT63" s="3">
        <v>0.3527777777777778</v>
      </c>
      <c r="BU63" t="s">
        <v>447</v>
      </c>
      <c r="BV63" t="s">
        <v>85</v>
      </c>
      <c r="BY63">
        <v>1200</v>
      </c>
      <c r="CC63" t="s">
        <v>106</v>
      </c>
      <c r="CD63">
        <v>2021</v>
      </c>
      <c r="CE63" t="s">
        <v>80</v>
      </c>
      <c r="CF63" s="2">
        <v>43972</v>
      </c>
      <c r="CI63">
        <v>2</v>
      </c>
      <c r="CJ63">
        <v>1</v>
      </c>
      <c r="CK63" t="s">
        <v>122</v>
      </c>
      <c r="CL63" t="s">
        <v>81</v>
      </c>
    </row>
    <row r="64" spans="1:90" x14ac:dyDescent="0.25">
      <c r="A64" t="s">
        <v>239</v>
      </c>
      <c r="B64" t="s">
        <v>240</v>
      </c>
      <c r="C64" t="s">
        <v>72</v>
      </c>
      <c r="E64" t="str">
        <f>"009940073274"</f>
        <v>009940073274</v>
      </c>
      <c r="F64" s="2">
        <v>43970</v>
      </c>
      <c r="G64">
        <v>202011</v>
      </c>
      <c r="H64" t="s">
        <v>91</v>
      </c>
      <c r="I64" t="s">
        <v>92</v>
      </c>
      <c r="J64" t="s">
        <v>236</v>
      </c>
      <c r="K64" t="s">
        <v>75</v>
      </c>
      <c r="L64" t="s">
        <v>136</v>
      </c>
      <c r="M64" t="s">
        <v>137</v>
      </c>
      <c r="N64" t="s">
        <v>448</v>
      </c>
      <c r="O64" t="s">
        <v>103</v>
      </c>
      <c r="P64" t="str">
        <f>"NA                            "</f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1.18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1</v>
      </c>
      <c r="BI64">
        <v>8.4</v>
      </c>
      <c r="BJ64">
        <v>8.6999999999999993</v>
      </c>
      <c r="BK64">
        <v>9</v>
      </c>
      <c r="BL64">
        <v>65.06</v>
      </c>
      <c r="BM64">
        <v>9.76</v>
      </c>
      <c r="BN64">
        <v>74.819999999999993</v>
      </c>
      <c r="BO64">
        <v>74.819999999999993</v>
      </c>
      <c r="BQ64" t="s">
        <v>449</v>
      </c>
      <c r="BR64" t="s">
        <v>250</v>
      </c>
      <c r="BS64" s="2">
        <v>43971</v>
      </c>
      <c r="BT64" s="3">
        <v>0.51388888888888895</v>
      </c>
      <c r="BU64" t="s">
        <v>450</v>
      </c>
      <c r="BV64" t="s">
        <v>85</v>
      </c>
      <c r="BY64">
        <v>43650</v>
      </c>
      <c r="CA64" t="s">
        <v>138</v>
      </c>
      <c r="CC64" t="s">
        <v>137</v>
      </c>
      <c r="CD64">
        <v>6500</v>
      </c>
      <c r="CE64" t="s">
        <v>152</v>
      </c>
      <c r="CF64" s="2">
        <v>43977</v>
      </c>
      <c r="CI64">
        <v>0</v>
      </c>
      <c r="CJ64">
        <v>0</v>
      </c>
      <c r="CK64" t="s">
        <v>212</v>
      </c>
      <c r="CL64" t="s">
        <v>81</v>
      </c>
    </row>
    <row r="65" spans="1:90" x14ac:dyDescent="0.25">
      <c r="A65" t="s">
        <v>239</v>
      </c>
      <c r="B65" t="s">
        <v>240</v>
      </c>
      <c r="C65" t="s">
        <v>72</v>
      </c>
      <c r="E65" t="str">
        <f>"009938822200"</f>
        <v>009938822200</v>
      </c>
      <c r="F65" s="2">
        <v>43966</v>
      </c>
      <c r="G65">
        <v>202011</v>
      </c>
      <c r="H65" t="s">
        <v>73</v>
      </c>
      <c r="I65" t="s">
        <v>74</v>
      </c>
      <c r="J65" t="s">
        <v>451</v>
      </c>
      <c r="K65" t="s">
        <v>75</v>
      </c>
      <c r="L65" t="s">
        <v>229</v>
      </c>
      <c r="M65" t="s">
        <v>222</v>
      </c>
      <c r="N65" t="s">
        <v>259</v>
      </c>
      <c r="O65" t="s">
        <v>78</v>
      </c>
      <c r="P65" t="str">
        <f>"...                           "</f>
        <v xml:space="preserve">...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1.88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3.7</v>
      </c>
      <c r="BJ65">
        <v>4.3</v>
      </c>
      <c r="BK65">
        <v>4.5</v>
      </c>
      <c r="BL65">
        <v>96.05</v>
      </c>
      <c r="BM65">
        <v>14.41</v>
      </c>
      <c r="BN65">
        <v>110.46</v>
      </c>
      <c r="BO65">
        <v>110.46</v>
      </c>
      <c r="BQ65" t="s">
        <v>170</v>
      </c>
      <c r="BR65" t="s">
        <v>452</v>
      </c>
      <c r="BS65" s="2">
        <v>43969</v>
      </c>
      <c r="BT65" s="3">
        <v>0.40277777777777773</v>
      </c>
      <c r="BU65" t="s">
        <v>372</v>
      </c>
      <c r="BV65" t="s">
        <v>85</v>
      </c>
      <c r="BY65">
        <v>21471.68</v>
      </c>
      <c r="BZ65" t="s">
        <v>27</v>
      </c>
      <c r="CA65" t="s">
        <v>147</v>
      </c>
      <c r="CC65" t="s">
        <v>222</v>
      </c>
      <c r="CD65">
        <v>1200</v>
      </c>
      <c r="CE65" t="s">
        <v>80</v>
      </c>
      <c r="CF65" s="2">
        <v>43971</v>
      </c>
      <c r="CI65">
        <v>1</v>
      </c>
      <c r="CJ65">
        <v>1</v>
      </c>
      <c r="CK65">
        <v>21</v>
      </c>
      <c r="CL65" t="s">
        <v>81</v>
      </c>
    </row>
    <row r="66" spans="1:90" x14ac:dyDescent="0.25">
      <c r="A66" t="s">
        <v>239</v>
      </c>
      <c r="B66" t="s">
        <v>240</v>
      </c>
      <c r="C66" t="s">
        <v>72</v>
      </c>
      <c r="E66" t="str">
        <f>"009938634369"</f>
        <v>009938634369</v>
      </c>
      <c r="F66" s="2">
        <v>43966</v>
      </c>
      <c r="G66">
        <v>202011</v>
      </c>
      <c r="H66" t="s">
        <v>76</v>
      </c>
      <c r="I66" t="s">
        <v>77</v>
      </c>
      <c r="J66" t="s">
        <v>259</v>
      </c>
      <c r="K66" t="s">
        <v>75</v>
      </c>
      <c r="L66" t="s">
        <v>193</v>
      </c>
      <c r="M66" t="s">
        <v>194</v>
      </c>
      <c r="N66" t="s">
        <v>451</v>
      </c>
      <c r="O66" t="s">
        <v>78</v>
      </c>
      <c r="P66" t="str">
        <f t="shared" ref="P66:P71" si="1"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2.2999999999999998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1</v>
      </c>
      <c r="BI66">
        <v>5.0999999999999996</v>
      </c>
      <c r="BJ66">
        <v>2.5</v>
      </c>
      <c r="BK66">
        <v>5.5</v>
      </c>
      <c r="BL66">
        <v>117.39</v>
      </c>
      <c r="BM66">
        <v>17.61</v>
      </c>
      <c r="BN66">
        <v>135</v>
      </c>
      <c r="BO66">
        <v>135</v>
      </c>
      <c r="BQ66" t="s">
        <v>142</v>
      </c>
      <c r="BR66" t="s">
        <v>453</v>
      </c>
      <c r="BS66" s="2">
        <v>43969</v>
      </c>
      <c r="BT66" s="3">
        <v>0.42708333333333331</v>
      </c>
      <c r="BU66" t="s">
        <v>218</v>
      </c>
      <c r="BV66" t="s">
        <v>85</v>
      </c>
      <c r="BY66">
        <v>12440.7</v>
      </c>
      <c r="BZ66" t="s">
        <v>27</v>
      </c>
      <c r="CA66" t="s">
        <v>454</v>
      </c>
      <c r="CC66" t="s">
        <v>194</v>
      </c>
      <c r="CD66">
        <v>700</v>
      </c>
      <c r="CE66" t="s">
        <v>80</v>
      </c>
      <c r="CF66" s="2">
        <v>43971</v>
      </c>
      <c r="CI66">
        <v>1</v>
      </c>
      <c r="CJ66">
        <v>1</v>
      </c>
      <c r="CK66">
        <v>21</v>
      </c>
      <c r="CL66" t="s">
        <v>81</v>
      </c>
    </row>
    <row r="67" spans="1:90" x14ac:dyDescent="0.25">
      <c r="A67" t="s">
        <v>239</v>
      </c>
      <c r="B67" t="s">
        <v>240</v>
      </c>
      <c r="C67" t="s">
        <v>72</v>
      </c>
      <c r="E67" t="str">
        <f>"009940073271"</f>
        <v>009940073271</v>
      </c>
      <c r="F67" s="2">
        <v>43966</v>
      </c>
      <c r="G67">
        <v>202011</v>
      </c>
      <c r="H67" t="s">
        <v>91</v>
      </c>
      <c r="I67" t="s">
        <v>92</v>
      </c>
      <c r="J67" t="s">
        <v>236</v>
      </c>
      <c r="K67" t="s">
        <v>75</v>
      </c>
      <c r="L67" t="s">
        <v>455</v>
      </c>
      <c r="M67" t="s">
        <v>456</v>
      </c>
      <c r="N67" t="s">
        <v>405</v>
      </c>
      <c r="O67" t="s">
        <v>78</v>
      </c>
      <c r="P67" t="str">
        <f t="shared" si="1"/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0.84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42.71</v>
      </c>
      <c r="BM67">
        <v>6.41</v>
      </c>
      <c r="BN67">
        <v>49.12</v>
      </c>
      <c r="BO67">
        <v>49.12</v>
      </c>
      <c r="BQ67" t="s">
        <v>457</v>
      </c>
      <c r="BR67" t="s">
        <v>250</v>
      </c>
      <c r="BS67" s="2">
        <v>43970</v>
      </c>
      <c r="BT67" s="3">
        <v>0.52777777777777779</v>
      </c>
      <c r="BU67" t="s">
        <v>107</v>
      </c>
      <c r="BV67" t="s">
        <v>81</v>
      </c>
      <c r="BW67" t="s">
        <v>124</v>
      </c>
      <c r="BX67" t="s">
        <v>180</v>
      </c>
      <c r="BY67">
        <v>1200</v>
      </c>
      <c r="BZ67" t="s">
        <v>27</v>
      </c>
      <c r="CC67" t="s">
        <v>456</v>
      </c>
      <c r="CD67">
        <v>3700</v>
      </c>
      <c r="CE67" t="s">
        <v>80</v>
      </c>
      <c r="CI67">
        <v>1</v>
      </c>
      <c r="CJ67">
        <v>2</v>
      </c>
      <c r="CK67">
        <v>21</v>
      </c>
      <c r="CL67" t="s">
        <v>81</v>
      </c>
    </row>
    <row r="68" spans="1:90" x14ac:dyDescent="0.25">
      <c r="A68" t="s">
        <v>239</v>
      </c>
      <c r="B68" t="s">
        <v>240</v>
      </c>
      <c r="C68" t="s">
        <v>72</v>
      </c>
      <c r="E68" t="str">
        <f>"009940073304"</f>
        <v>009940073304</v>
      </c>
      <c r="F68" s="2">
        <v>43966</v>
      </c>
      <c r="G68">
        <v>202011</v>
      </c>
      <c r="H68" t="s">
        <v>91</v>
      </c>
      <c r="I68" t="s">
        <v>92</v>
      </c>
      <c r="J68" t="s">
        <v>236</v>
      </c>
      <c r="K68" t="s">
        <v>75</v>
      </c>
      <c r="L68" t="s">
        <v>172</v>
      </c>
      <c r="M68" t="s">
        <v>173</v>
      </c>
      <c r="N68" t="s">
        <v>458</v>
      </c>
      <c r="O68" t="s">
        <v>78</v>
      </c>
      <c r="P68" t="str">
        <f t="shared" si="1"/>
        <v xml:space="preserve">NA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12.61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1</v>
      </c>
      <c r="BI68">
        <v>16.8</v>
      </c>
      <c r="BJ68">
        <v>15.2</v>
      </c>
      <c r="BK68">
        <v>17</v>
      </c>
      <c r="BL68">
        <v>643.33000000000004</v>
      </c>
      <c r="BM68">
        <v>96.5</v>
      </c>
      <c r="BN68">
        <v>739.83</v>
      </c>
      <c r="BO68">
        <v>739.83</v>
      </c>
      <c r="BQ68" t="s">
        <v>459</v>
      </c>
      <c r="BR68" t="s">
        <v>250</v>
      </c>
      <c r="BS68" s="2">
        <v>43970</v>
      </c>
      <c r="BT68" s="3">
        <v>0.39097222222222222</v>
      </c>
      <c r="BU68" t="s">
        <v>460</v>
      </c>
      <c r="BV68" t="s">
        <v>81</v>
      </c>
      <c r="BW68" t="s">
        <v>100</v>
      </c>
      <c r="BX68" t="s">
        <v>174</v>
      </c>
      <c r="BY68">
        <v>76003.199999999997</v>
      </c>
      <c r="BZ68" t="s">
        <v>27</v>
      </c>
      <c r="CA68" t="s">
        <v>183</v>
      </c>
      <c r="CC68" t="s">
        <v>173</v>
      </c>
      <c r="CD68">
        <v>300</v>
      </c>
      <c r="CE68" t="s">
        <v>80</v>
      </c>
      <c r="CF68" s="2">
        <v>43972</v>
      </c>
      <c r="CI68">
        <v>1</v>
      </c>
      <c r="CJ68">
        <v>2</v>
      </c>
      <c r="CK68">
        <v>23</v>
      </c>
      <c r="CL68" t="s">
        <v>81</v>
      </c>
    </row>
    <row r="69" spans="1:90" x14ac:dyDescent="0.25">
      <c r="A69" t="s">
        <v>239</v>
      </c>
      <c r="B69" t="s">
        <v>240</v>
      </c>
      <c r="C69" t="s">
        <v>72</v>
      </c>
      <c r="E69" t="str">
        <f>"009940073303"</f>
        <v>009940073303</v>
      </c>
      <c r="F69" s="2">
        <v>43966</v>
      </c>
      <c r="G69">
        <v>202011</v>
      </c>
      <c r="H69" t="s">
        <v>91</v>
      </c>
      <c r="I69" t="s">
        <v>92</v>
      </c>
      <c r="J69" t="s">
        <v>236</v>
      </c>
      <c r="K69" t="s">
        <v>75</v>
      </c>
      <c r="L69" t="s">
        <v>148</v>
      </c>
      <c r="M69" t="s">
        <v>149</v>
      </c>
      <c r="N69" t="s">
        <v>461</v>
      </c>
      <c r="O69" t="s">
        <v>78</v>
      </c>
      <c r="P69" t="str">
        <f t="shared" si="1"/>
        <v xml:space="preserve">NA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7.32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1</v>
      </c>
      <c r="BI69">
        <v>17.2</v>
      </c>
      <c r="BJ69">
        <v>13.4</v>
      </c>
      <c r="BK69">
        <v>17.5</v>
      </c>
      <c r="BL69">
        <v>373.45</v>
      </c>
      <c r="BM69">
        <v>56.02</v>
      </c>
      <c r="BN69">
        <v>429.47</v>
      </c>
      <c r="BO69">
        <v>429.47</v>
      </c>
      <c r="BQ69" t="s">
        <v>438</v>
      </c>
      <c r="BR69" t="s">
        <v>250</v>
      </c>
      <c r="BS69" s="2">
        <v>43966</v>
      </c>
      <c r="BT69" s="3">
        <v>0.40277777777777773</v>
      </c>
      <c r="BU69" t="s">
        <v>439</v>
      </c>
      <c r="BV69" t="s">
        <v>85</v>
      </c>
      <c r="BY69">
        <v>66825</v>
      </c>
      <c r="BZ69" t="s">
        <v>27</v>
      </c>
      <c r="CC69" t="s">
        <v>149</v>
      </c>
      <c r="CD69">
        <v>3200</v>
      </c>
      <c r="CE69" t="s">
        <v>80</v>
      </c>
      <c r="CF69" s="2">
        <v>43970</v>
      </c>
      <c r="CI69">
        <v>1</v>
      </c>
      <c r="CJ69">
        <v>0</v>
      </c>
      <c r="CK69">
        <v>21</v>
      </c>
      <c r="CL69" t="s">
        <v>81</v>
      </c>
    </row>
    <row r="70" spans="1:90" x14ac:dyDescent="0.25">
      <c r="A70" t="s">
        <v>239</v>
      </c>
      <c r="B70" t="s">
        <v>240</v>
      </c>
      <c r="C70" t="s">
        <v>72</v>
      </c>
      <c r="E70" t="str">
        <f>"009940073307"</f>
        <v>009940073307</v>
      </c>
      <c r="F70" s="2">
        <v>43966</v>
      </c>
      <c r="G70">
        <v>202011</v>
      </c>
      <c r="H70" t="s">
        <v>91</v>
      </c>
      <c r="I70" t="s">
        <v>92</v>
      </c>
      <c r="J70" t="s">
        <v>236</v>
      </c>
      <c r="K70" t="s">
        <v>75</v>
      </c>
      <c r="L70" t="s">
        <v>82</v>
      </c>
      <c r="M70" t="s">
        <v>83</v>
      </c>
      <c r="N70" t="s">
        <v>462</v>
      </c>
      <c r="O70" t="s">
        <v>78</v>
      </c>
      <c r="P70" t="str">
        <f t="shared" si="1"/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7.11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1</v>
      </c>
      <c r="BI70">
        <v>16.399999999999999</v>
      </c>
      <c r="BJ70">
        <v>16.600000000000001</v>
      </c>
      <c r="BK70">
        <v>17</v>
      </c>
      <c r="BL70">
        <v>362.78</v>
      </c>
      <c r="BM70">
        <v>54.42</v>
      </c>
      <c r="BN70">
        <v>417.2</v>
      </c>
      <c r="BO70">
        <v>417.2</v>
      </c>
      <c r="BQ70" t="s">
        <v>463</v>
      </c>
      <c r="BR70" t="s">
        <v>250</v>
      </c>
      <c r="BS70" s="2">
        <v>43969</v>
      </c>
      <c r="BT70" s="3">
        <v>0.4201388888888889</v>
      </c>
      <c r="BU70" t="s">
        <v>464</v>
      </c>
      <c r="BV70" t="s">
        <v>85</v>
      </c>
      <c r="BY70">
        <v>82830</v>
      </c>
      <c r="BZ70" t="s">
        <v>27</v>
      </c>
      <c r="CA70" t="s">
        <v>84</v>
      </c>
      <c r="CC70" t="s">
        <v>83</v>
      </c>
      <c r="CD70">
        <v>6045</v>
      </c>
      <c r="CE70" t="s">
        <v>80</v>
      </c>
      <c r="CF70" s="2">
        <v>43970</v>
      </c>
      <c r="CI70">
        <v>1</v>
      </c>
      <c r="CJ70">
        <v>1</v>
      </c>
      <c r="CK70">
        <v>21</v>
      </c>
      <c r="CL70" t="s">
        <v>81</v>
      </c>
    </row>
    <row r="71" spans="1:90" x14ac:dyDescent="0.25">
      <c r="A71" t="s">
        <v>239</v>
      </c>
      <c r="B71" t="s">
        <v>240</v>
      </c>
      <c r="C71" t="s">
        <v>72</v>
      </c>
      <c r="E71" t="str">
        <f>"009940073308"</f>
        <v>009940073308</v>
      </c>
      <c r="F71" s="2">
        <v>43966</v>
      </c>
      <c r="G71">
        <v>202011</v>
      </c>
      <c r="H71" t="s">
        <v>91</v>
      </c>
      <c r="I71" t="s">
        <v>92</v>
      </c>
      <c r="J71" t="s">
        <v>236</v>
      </c>
      <c r="K71" t="s">
        <v>75</v>
      </c>
      <c r="L71" t="s">
        <v>76</v>
      </c>
      <c r="M71" t="s">
        <v>77</v>
      </c>
      <c r="N71" t="s">
        <v>465</v>
      </c>
      <c r="O71" t="s">
        <v>78</v>
      </c>
      <c r="P71" t="str">
        <f t="shared" si="1"/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7.11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16.8</v>
      </c>
      <c r="BJ71">
        <v>15.8</v>
      </c>
      <c r="BK71">
        <v>17</v>
      </c>
      <c r="BL71">
        <v>362.78</v>
      </c>
      <c r="BM71">
        <v>54.42</v>
      </c>
      <c r="BN71">
        <v>417.2</v>
      </c>
      <c r="BO71">
        <v>417.2</v>
      </c>
      <c r="BQ71" t="s">
        <v>466</v>
      </c>
      <c r="BR71" t="s">
        <v>250</v>
      </c>
      <c r="BS71" s="2">
        <v>43969</v>
      </c>
      <c r="BT71" s="3">
        <v>0.43402777777777773</v>
      </c>
      <c r="BU71" t="s">
        <v>467</v>
      </c>
      <c r="BV71" t="s">
        <v>85</v>
      </c>
      <c r="BY71">
        <v>78785.240000000005</v>
      </c>
      <c r="BZ71" t="s">
        <v>27</v>
      </c>
      <c r="CC71" t="s">
        <v>77</v>
      </c>
      <c r="CD71">
        <v>83</v>
      </c>
      <c r="CE71" t="s">
        <v>80</v>
      </c>
      <c r="CF71" s="2">
        <v>43970</v>
      </c>
      <c r="CI71">
        <v>1</v>
      </c>
      <c r="CJ71">
        <v>1</v>
      </c>
      <c r="CK71">
        <v>21</v>
      </c>
      <c r="CL71" t="s">
        <v>81</v>
      </c>
    </row>
    <row r="72" spans="1:90" x14ac:dyDescent="0.25">
      <c r="A72" t="s">
        <v>239</v>
      </c>
      <c r="B72" t="s">
        <v>240</v>
      </c>
      <c r="C72" t="s">
        <v>72</v>
      </c>
      <c r="E72" t="str">
        <f>"RR009939929459"</f>
        <v>RR009939929459</v>
      </c>
      <c r="F72" s="2">
        <v>43966</v>
      </c>
      <c r="G72">
        <v>202011</v>
      </c>
      <c r="H72" t="s">
        <v>91</v>
      </c>
      <c r="I72" t="s">
        <v>92</v>
      </c>
      <c r="J72" t="s">
        <v>468</v>
      </c>
      <c r="K72" t="s">
        <v>75</v>
      </c>
      <c r="L72" t="s">
        <v>94</v>
      </c>
      <c r="M72" t="s">
        <v>95</v>
      </c>
      <c r="N72" t="s">
        <v>400</v>
      </c>
      <c r="O72" t="s">
        <v>78</v>
      </c>
      <c r="P72" t="str">
        <f>"ESSENTIAL SERVICES            "</f>
        <v xml:space="preserve">ESSENTIAL SERVICES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0.84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1</v>
      </c>
      <c r="BI72">
        <v>1.8</v>
      </c>
      <c r="BJ72">
        <v>2</v>
      </c>
      <c r="BK72">
        <v>2</v>
      </c>
      <c r="BL72">
        <v>42.71</v>
      </c>
      <c r="BM72">
        <v>6.41</v>
      </c>
      <c r="BN72">
        <v>49.12</v>
      </c>
      <c r="BO72">
        <v>49.12</v>
      </c>
      <c r="BQ72" t="s">
        <v>402</v>
      </c>
      <c r="BR72" t="s">
        <v>469</v>
      </c>
      <c r="BS72" s="2">
        <v>43969</v>
      </c>
      <c r="BT72" s="3">
        <v>0.4777777777777778</v>
      </c>
      <c r="BU72" t="s">
        <v>470</v>
      </c>
      <c r="BV72" t="s">
        <v>81</v>
      </c>
      <c r="BY72">
        <v>10042.879999999999</v>
      </c>
      <c r="BZ72" t="s">
        <v>27</v>
      </c>
      <c r="CA72" t="s">
        <v>471</v>
      </c>
      <c r="CC72" t="s">
        <v>95</v>
      </c>
      <c r="CD72">
        <v>4000</v>
      </c>
      <c r="CE72" t="s">
        <v>80</v>
      </c>
      <c r="CI72">
        <v>1</v>
      </c>
      <c r="CJ72">
        <v>1</v>
      </c>
      <c r="CK72">
        <v>21</v>
      </c>
      <c r="CL72" t="s">
        <v>81</v>
      </c>
    </row>
    <row r="73" spans="1:90" x14ac:dyDescent="0.25">
      <c r="A73" t="s">
        <v>239</v>
      </c>
      <c r="B73" t="s">
        <v>240</v>
      </c>
      <c r="C73" t="s">
        <v>72</v>
      </c>
      <c r="E73" t="str">
        <f>"009939780625"</f>
        <v>009939780625</v>
      </c>
      <c r="F73" s="2">
        <v>43966</v>
      </c>
      <c r="G73">
        <v>202011</v>
      </c>
      <c r="H73" t="s">
        <v>131</v>
      </c>
      <c r="I73" t="s">
        <v>132</v>
      </c>
      <c r="J73" t="s">
        <v>472</v>
      </c>
      <c r="K73" t="s">
        <v>75</v>
      </c>
      <c r="L73" t="s">
        <v>101</v>
      </c>
      <c r="M73" t="s">
        <v>102</v>
      </c>
      <c r="N73" t="s">
        <v>473</v>
      </c>
      <c r="O73" t="s">
        <v>103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1.18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1</v>
      </c>
      <c r="BI73">
        <v>0.2</v>
      </c>
      <c r="BJ73">
        <v>1.6</v>
      </c>
      <c r="BK73">
        <v>2</v>
      </c>
      <c r="BL73">
        <v>65.06</v>
      </c>
      <c r="BM73">
        <v>9.76</v>
      </c>
      <c r="BN73">
        <v>74.819999999999993</v>
      </c>
      <c r="BO73">
        <v>74.819999999999993</v>
      </c>
      <c r="BQ73" t="s">
        <v>474</v>
      </c>
      <c r="BR73" t="s">
        <v>215</v>
      </c>
      <c r="BS73" s="2">
        <v>43969</v>
      </c>
      <c r="BT73" s="3">
        <v>0.43055555555555558</v>
      </c>
      <c r="BU73" t="s">
        <v>165</v>
      </c>
      <c r="BV73" t="s">
        <v>85</v>
      </c>
      <c r="BY73">
        <v>8132.29</v>
      </c>
      <c r="CA73" t="s">
        <v>116</v>
      </c>
      <c r="CC73" t="s">
        <v>102</v>
      </c>
      <c r="CD73">
        <v>3610</v>
      </c>
      <c r="CE73" t="s">
        <v>80</v>
      </c>
      <c r="CF73" s="2">
        <v>43970</v>
      </c>
      <c r="CI73">
        <v>1</v>
      </c>
      <c r="CJ73">
        <v>1</v>
      </c>
      <c r="CK73" t="s">
        <v>104</v>
      </c>
      <c r="CL73" t="s">
        <v>81</v>
      </c>
    </row>
    <row r="74" spans="1:90" x14ac:dyDescent="0.25">
      <c r="A74" t="s">
        <v>239</v>
      </c>
      <c r="B74" t="s">
        <v>240</v>
      </c>
      <c r="C74" t="s">
        <v>72</v>
      </c>
      <c r="E74" t="str">
        <f>"009940073309"</f>
        <v>009940073309</v>
      </c>
      <c r="F74" s="2">
        <v>43966</v>
      </c>
      <c r="G74">
        <v>202011</v>
      </c>
      <c r="H74" t="s">
        <v>91</v>
      </c>
      <c r="I74" t="s">
        <v>92</v>
      </c>
      <c r="J74" t="s">
        <v>236</v>
      </c>
      <c r="K74" t="s">
        <v>75</v>
      </c>
      <c r="L74" t="s">
        <v>123</v>
      </c>
      <c r="M74" t="s">
        <v>92</v>
      </c>
      <c r="N74" t="s">
        <v>475</v>
      </c>
      <c r="O74" t="s">
        <v>103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1.18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1</v>
      </c>
      <c r="BI74">
        <v>3.7</v>
      </c>
      <c r="BJ74">
        <v>4.5</v>
      </c>
      <c r="BK74">
        <v>5</v>
      </c>
      <c r="BL74">
        <v>65.06</v>
      </c>
      <c r="BM74">
        <v>9.76</v>
      </c>
      <c r="BN74">
        <v>74.819999999999993</v>
      </c>
      <c r="BO74">
        <v>74.819999999999993</v>
      </c>
      <c r="BR74" t="s">
        <v>250</v>
      </c>
      <c r="BS74" s="2">
        <v>43969</v>
      </c>
      <c r="BT74" s="3">
        <v>0.51458333333333328</v>
      </c>
      <c r="BU74" t="s">
        <v>476</v>
      </c>
      <c r="BV74" t="s">
        <v>85</v>
      </c>
      <c r="BY74">
        <v>22332.48</v>
      </c>
      <c r="CA74" t="s">
        <v>477</v>
      </c>
      <c r="CC74" t="s">
        <v>92</v>
      </c>
      <c r="CD74">
        <v>7460</v>
      </c>
      <c r="CE74" t="s">
        <v>80</v>
      </c>
      <c r="CF74" s="2">
        <v>43970</v>
      </c>
      <c r="CI74">
        <v>1</v>
      </c>
      <c r="CJ74">
        <v>1</v>
      </c>
      <c r="CK74" t="s">
        <v>121</v>
      </c>
      <c r="CL74" t="s">
        <v>81</v>
      </c>
    </row>
    <row r="75" spans="1:90" x14ac:dyDescent="0.25">
      <c r="A75" t="s">
        <v>239</v>
      </c>
      <c r="B75" t="s">
        <v>240</v>
      </c>
      <c r="C75" t="s">
        <v>72</v>
      </c>
      <c r="E75" t="str">
        <f>"009940073310"</f>
        <v>009940073310</v>
      </c>
      <c r="F75" s="2">
        <v>43966</v>
      </c>
      <c r="G75">
        <v>202011</v>
      </c>
      <c r="H75" t="s">
        <v>91</v>
      </c>
      <c r="I75" t="s">
        <v>92</v>
      </c>
      <c r="J75" t="s">
        <v>236</v>
      </c>
      <c r="K75" t="s">
        <v>75</v>
      </c>
      <c r="L75" t="s">
        <v>97</v>
      </c>
      <c r="M75" t="s">
        <v>98</v>
      </c>
      <c r="N75" t="s">
        <v>478</v>
      </c>
      <c r="O75" t="s">
        <v>103</v>
      </c>
      <c r="P75" t="str">
        <f>"NA                            "</f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1.71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1</v>
      </c>
      <c r="BI75">
        <v>5.3</v>
      </c>
      <c r="BJ75">
        <v>5.6</v>
      </c>
      <c r="BK75">
        <v>6</v>
      </c>
      <c r="BL75">
        <v>92.42</v>
      </c>
      <c r="BM75">
        <v>13.86</v>
      </c>
      <c r="BN75">
        <v>106.28</v>
      </c>
      <c r="BO75">
        <v>106.28</v>
      </c>
      <c r="BQ75" t="s">
        <v>479</v>
      </c>
      <c r="BR75" t="s">
        <v>250</v>
      </c>
      <c r="BS75" s="2">
        <v>43970</v>
      </c>
      <c r="BT75" s="3">
        <v>0.4597222222222222</v>
      </c>
      <c r="BU75" t="s">
        <v>480</v>
      </c>
      <c r="BV75" t="s">
        <v>85</v>
      </c>
      <c r="BY75">
        <v>28156.799999999999</v>
      </c>
      <c r="CA75" t="s">
        <v>99</v>
      </c>
      <c r="CC75" t="s">
        <v>98</v>
      </c>
      <c r="CD75">
        <v>4300</v>
      </c>
      <c r="CE75" t="s">
        <v>80</v>
      </c>
      <c r="CF75" s="2">
        <v>43971</v>
      </c>
      <c r="CI75">
        <v>2</v>
      </c>
      <c r="CJ75">
        <v>2</v>
      </c>
      <c r="CK75" t="s">
        <v>122</v>
      </c>
      <c r="CL75" t="s">
        <v>81</v>
      </c>
    </row>
    <row r="76" spans="1:90" x14ac:dyDescent="0.25">
      <c r="A76" t="s">
        <v>239</v>
      </c>
      <c r="B76" t="s">
        <v>240</v>
      </c>
      <c r="C76" t="s">
        <v>72</v>
      </c>
      <c r="E76" t="str">
        <f>"009939976832"</f>
        <v>009939976832</v>
      </c>
      <c r="F76" s="2">
        <v>43970</v>
      </c>
      <c r="G76">
        <v>202011</v>
      </c>
      <c r="H76" t="s">
        <v>82</v>
      </c>
      <c r="I76" t="s">
        <v>83</v>
      </c>
      <c r="J76" t="s">
        <v>236</v>
      </c>
      <c r="K76" t="s">
        <v>75</v>
      </c>
      <c r="L76" t="s">
        <v>131</v>
      </c>
      <c r="M76" t="s">
        <v>132</v>
      </c>
      <c r="N76" t="s">
        <v>481</v>
      </c>
      <c r="O76" t="s">
        <v>103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2.67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2</v>
      </c>
      <c r="BI76">
        <v>24</v>
      </c>
      <c r="BJ76">
        <v>27.4</v>
      </c>
      <c r="BK76">
        <v>28</v>
      </c>
      <c r="BL76">
        <v>141.09</v>
      </c>
      <c r="BM76">
        <v>21.16</v>
      </c>
      <c r="BN76">
        <v>162.25</v>
      </c>
      <c r="BO76">
        <v>162.25</v>
      </c>
      <c r="BR76" t="s">
        <v>245</v>
      </c>
      <c r="BS76" s="2">
        <v>43973</v>
      </c>
      <c r="BT76" s="3">
        <v>0.33333333333333331</v>
      </c>
      <c r="BU76" t="s">
        <v>114</v>
      </c>
      <c r="BV76" t="s">
        <v>81</v>
      </c>
      <c r="BW76" t="s">
        <v>100</v>
      </c>
      <c r="BX76" t="s">
        <v>181</v>
      </c>
      <c r="BY76">
        <v>68479</v>
      </c>
      <c r="CC76" t="s">
        <v>132</v>
      </c>
      <c r="CD76">
        <v>1682</v>
      </c>
      <c r="CE76" t="s">
        <v>226</v>
      </c>
      <c r="CF76" s="2">
        <v>43974</v>
      </c>
      <c r="CI76">
        <v>2</v>
      </c>
      <c r="CJ76">
        <v>3</v>
      </c>
      <c r="CK76" t="s">
        <v>122</v>
      </c>
      <c r="CL76" t="s">
        <v>81</v>
      </c>
    </row>
    <row r="77" spans="1:90" x14ac:dyDescent="0.25">
      <c r="A77" t="s">
        <v>239</v>
      </c>
      <c r="B77" t="s">
        <v>240</v>
      </c>
      <c r="C77" t="s">
        <v>72</v>
      </c>
      <c r="E77" t="str">
        <f>"009938634370"</f>
        <v>009938634370</v>
      </c>
      <c r="F77" s="2">
        <v>43969</v>
      </c>
      <c r="G77">
        <v>202011</v>
      </c>
      <c r="H77" t="s">
        <v>76</v>
      </c>
      <c r="I77" t="s">
        <v>77</v>
      </c>
      <c r="J77" t="s">
        <v>482</v>
      </c>
      <c r="K77" t="s">
        <v>75</v>
      </c>
      <c r="L77" t="s">
        <v>193</v>
      </c>
      <c r="M77" t="s">
        <v>194</v>
      </c>
      <c r="N77" t="s">
        <v>451</v>
      </c>
      <c r="O77" t="s">
        <v>78</v>
      </c>
      <c r="P77" t="str">
        <f>"NOREF                         "</f>
        <v xml:space="preserve">NOREF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2.09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1</v>
      </c>
      <c r="BI77">
        <v>4.9000000000000004</v>
      </c>
      <c r="BJ77">
        <v>4.8</v>
      </c>
      <c r="BK77">
        <v>5</v>
      </c>
      <c r="BL77">
        <v>106.72</v>
      </c>
      <c r="BM77">
        <v>16.010000000000002</v>
      </c>
      <c r="BN77">
        <v>122.73</v>
      </c>
      <c r="BO77">
        <v>122.73</v>
      </c>
      <c r="BQ77" t="s">
        <v>483</v>
      </c>
      <c r="BR77" t="s">
        <v>453</v>
      </c>
      <c r="BS77" s="2">
        <v>43970</v>
      </c>
      <c r="BT77" s="3">
        <v>0.41319444444444442</v>
      </c>
      <c r="BU77" t="s">
        <v>484</v>
      </c>
      <c r="BV77" t="s">
        <v>85</v>
      </c>
      <c r="BY77">
        <v>24244.16</v>
      </c>
      <c r="BZ77" t="s">
        <v>27</v>
      </c>
      <c r="CA77" t="s">
        <v>220</v>
      </c>
      <c r="CC77" t="s">
        <v>194</v>
      </c>
      <c r="CD77">
        <v>700</v>
      </c>
      <c r="CE77" t="s">
        <v>80</v>
      </c>
      <c r="CF77" s="2">
        <v>43971</v>
      </c>
      <c r="CI77">
        <v>1</v>
      </c>
      <c r="CJ77">
        <v>1</v>
      </c>
      <c r="CK77">
        <v>21</v>
      </c>
      <c r="CL77" t="s">
        <v>81</v>
      </c>
    </row>
    <row r="78" spans="1:90" x14ac:dyDescent="0.25">
      <c r="A78" t="s">
        <v>239</v>
      </c>
      <c r="B78" t="s">
        <v>240</v>
      </c>
      <c r="C78" t="s">
        <v>72</v>
      </c>
      <c r="E78" t="str">
        <f>"080002578564"</f>
        <v>080002578564</v>
      </c>
      <c r="F78" s="2">
        <v>43969</v>
      </c>
      <c r="G78">
        <v>202011</v>
      </c>
      <c r="H78" t="s">
        <v>131</v>
      </c>
      <c r="I78" t="s">
        <v>132</v>
      </c>
      <c r="J78" t="s">
        <v>254</v>
      </c>
      <c r="K78" t="s">
        <v>75</v>
      </c>
      <c r="L78" t="s">
        <v>82</v>
      </c>
      <c r="M78" t="s">
        <v>83</v>
      </c>
      <c r="N78" t="s">
        <v>255</v>
      </c>
      <c r="O78" t="s">
        <v>78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10.88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1</v>
      </c>
      <c r="BI78">
        <v>16</v>
      </c>
      <c r="BJ78">
        <v>25.6</v>
      </c>
      <c r="BK78">
        <v>26</v>
      </c>
      <c r="BL78">
        <v>554.83000000000004</v>
      </c>
      <c r="BM78">
        <v>83.22</v>
      </c>
      <c r="BN78">
        <v>638.04999999999995</v>
      </c>
      <c r="BO78">
        <v>638.04999999999995</v>
      </c>
      <c r="BQ78" t="s">
        <v>256</v>
      </c>
      <c r="BR78" t="s">
        <v>257</v>
      </c>
      <c r="BS78" s="2">
        <v>43970</v>
      </c>
      <c r="BT78" s="3">
        <v>0.3833333333333333</v>
      </c>
      <c r="BU78" t="s">
        <v>485</v>
      </c>
      <c r="BV78" t="s">
        <v>85</v>
      </c>
      <c r="BY78">
        <v>127946.25</v>
      </c>
      <c r="BZ78" t="s">
        <v>27</v>
      </c>
      <c r="CA78" t="s">
        <v>84</v>
      </c>
      <c r="CC78" t="s">
        <v>83</v>
      </c>
      <c r="CD78">
        <v>6000</v>
      </c>
      <c r="CE78" t="s">
        <v>196</v>
      </c>
      <c r="CF78" s="2">
        <v>43971</v>
      </c>
      <c r="CI78">
        <v>1</v>
      </c>
      <c r="CJ78">
        <v>1</v>
      </c>
      <c r="CK78">
        <v>21</v>
      </c>
      <c r="CL78" t="s">
        <v>81</v>
      </c>
    </row>
    <row r="79" spans="1:90" x14ac:dyDescent="0.25">
      <c r="A79" t="s">
        <v>239</v>
      </c>
      <c r="B79" t="s">
        <v>240</v>
      </c>
      <c r="C79" t="s">
        <v>72</v>
      </c>
      <c r="E79" t="str">
        <f>"009939899866"</f>
        <v>009939899866</v>
      </c>
      <c r="F79" s="2">
        <v>43969</v>
      </c>
      <c r="G79">
        <v>202011</v>
      </c>
      <c r="H79" t="s">
        <v>105</v>
      </c>
      <c r="I79" t="s">
        <v>106</v>
      </c>
      <c r="J79" t="s">
        <v>236</v>
      </c>
      <c r="K79" t="s">
        <v>75</v>
      </c>
      <c r="L79" t="s">
        <v>486</v>
      </c>
      <c r="M79" t="s">
        <v>487</v>
      </c>
      <c r="N79" t="s">
        <v>488</v>
      </c>
      <c r="O79" t="s">
        <v>103</v>
      </c>
      <c r="P79" t="str">
        <f>"NA                            "</f>
        <v xml:space="preserve">NA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4.6900000000000004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2</v>
      </c>
      <c r="BI79">
        <v>24.6</v>
      </c>
      <c r="BJ79">
        <v>36.799999999999997</v>
      </c>
      <c r="BK79">
        <v>37</v>
      </c>
      <c r="BL79">
        <v>244.19</v>
      </c>
      <c r="BM79">
        <v>36.630000000000003</v>
      </c>
      <c r="BN79">
        <v>280.82</v>
      </c>
      <c r="BO79">
        <v>280.82</v>
      </c>
      <c r="BQ79" t="s">
        <v>489</v>
      </c>
      <c r="BR79" t="s">
        <v>490</v>
      </c>
      <c r="BS79" s="2">
        <v>43970</v>
      </c>
      <c r="BT79" s="3">
        <v>0.6381944444444444</v>
      </c>
      <c r="BU79" t="s">
        <v>491</v>
      </c>
      <c r="BV79" t="s">
        <v>85</v>
      </c>
      <c r="BY79">
        <v>184229.64</v>
      </c>
      <c r="CA79" t="s">
        <v>492</v>
      </c>
      <c r="CC79" t="s">
        <v>487</v>
      </c>
      <c r="CD79">
        <v>1330</v>
      </c>
      <c r="CE79" t="s">
        <v>80</v>
      </c>
      <c r="CF79" s="2">
        <v>43973</v>
      </c>
      <c r="CI79">
        <v>5</v>
      </c>
      <c r="CJ79">
        <v>1</v>
      </c>
      <c r="CK79" t="s">
        <v>177</v>
      </c>
      <c r="CL79" t="s">
        <v>81</v>
      </c>
    </row>
    <row r="80" spans="1:90" x14ac:dyDescent="0.25">
      <c r="A80" t="s">
        <v>239</v>
      </c>
      <c r="B80" t="s">
        <v>240</v>
      </c>
      <c r="C80" t="s">
        <v>72</v>
      </c>
      <c r="E80" t="str">
        <f>"009940073273"</f>
        <v>009940073273</v>
      </c>
      <c r="F80" s="2">
        <v>43969</v>
      </c>
      <c r="G80">
        <v>202011</v>
      </c>
      <c r="H80" t="s">
        <v>91</v>
      </c>
      <c r="I80" t="s">
        <v>92</v>
      </c>
      <c r="J80" t="s">
        <v>236</v>
      </c>
      <c r="K80" t="s">
        <v>75</v>
      </c>
      <c r="L80" t="s">
        <v>117</v>
      </c>
      <c r="M80" t="s">
        <v>118</v>
      </c>
      <c r="N80" t="s">
        <v>493</v>
      </c>
      <c r="O80" t="s">
        <v>103</v>
      </c>
      <c r="P80" t="str">
        <f>"ESSENTIAL SERVICES            "</f>
        <v xml:space="preserve">ESSENTIAL SERVICES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1.71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1</v>
      </c>
      <c r="BI80">
        <v>8.8000000000000007</v>
      </c>
      <c r="BJ80">
        <v>7.6</v>
      </c>
      <c r="BK80">
        <v>9</v>
      </c>
      <c r="BL80">
        <v>92.42</v>
      </c>
      <c r="BM80">
        <v>13.86</v>
      </c>
      <c r="BN80">
        <v>106.28</v>
      </c>
      <c r="BO80">
        <v>106.28</v>
      </c>
      <c r="BQ80" t="s">
        <v>494</v>
      </c>
      <c r="BR80" t="s">
        <v>250</v>
      </c>
      <c r="BS80" s="2">
        <v>43972</v>
      </c>
      <c r="BT80" s="3">
        <v>0.5</v>
      </c>
      <c r="BU80" t="s">
        <v>495</v>
      </c>
      <c r="BV80" t="s">
        <v>81</v>
      </c>
      <c r="BY80">
        <v>37988.28</v>
      </c>
      <c r="CC80" t="s">
        <v>118</v>
      </c>
      <c r="CD80">
        <v>9301</v>
      </c>
      <c r="CE80" t="s">
        <v>80</v>
      </c>
      <c r="CF80" s="2">
        <v>43973</v>
      </c>
      <c r="CI80">
        <v>2</v>
      </c>
      <c r="CJ80">
        <v>3</v>
      </c>
      <c r="CK80" t="s">
        <v>122</v>
      </c>
      <c r="CL80" t="s">
        <v>81</v>
      </c>
    </row>
    <row r="81" spans="1:90" x14ac:dyDescent="0.25">
      <c r="A81" t="s">
        <v>239</v>
      </c>
      <c r="B81" t="s">
        <v>240</v>
      </c>
      <c r="C81" t="s">
        <v>72</v>
      </c>
      <c r="E81" t="str">
        <f>"009940073272"</f>
        <v>009940073272</v>
      </c>
      <c r="F81" s="2">
        <v>43969</v>
      </c>
      <c r="G81">
        <v>202011</v>
      </c>
      <c r="H81" t="s">
        <v>91</v>
      </c>
      <c r="I81" t="s">
        <v>92</v>
      </c>
      <c r="J81" t="s">
        <v>236</v>
      </c>
      <c r="K81" t="s">
        <v>75</v>
      </c>
      <c r="L81" t="s">
        <v>166</v>
      </c>
      <c r="M81" t="s">
        <v>167</v>
      </c>
      <c r="N81" t="s">
        <v>496</v>
      </c>
      <c r="O81" t="s">
        <v>103</v>
      </c>
      <c r="P81" t="str">
        <f>"ESSENTIAL SERVICES            "</f>
        <v xml:space="preserve">ESSENTIAL SERVICES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1.71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1</v>
      </c>
      <c r="BI81">
        <v>2.6</v>
      </c>
      <c r="BJ81">
        <v>3.5</v>
      </c>
      <c r="BK81">
        <v>4</v>
      </c>
      <c r="BL81">
        <v>92.42</v>
      </c>
      <c r="BM81">
        <v>13.86</v>
      </c>
      <c r="BN81">
        <v>106.28</v>
      </c>
      <c r="BO81">
        <v>106.28</v>
      </c>
      <c r="BQ81" t="s">
        <v>497</v>
      </c>
      <c r="BR81" t="s">
        <v>250</v>
      </c>
      <c r="BS81" s="2">
        <v>43972</v>
      </c>
      <c r="BT81" s="3">
        <v>0.37152777777777773</v>
      </c>
      <c r="BU81" t="s">
        <v>498</v>
      </c>
      <c r="BV81" t="s">
        <v>81</v>
      </c>
      <c r="BW81" t="s">
        <v>100</v>
      </c>
      <c r="BX81" t="s">
        <v>181</v>
      </c>
      <c r="BY81">
        <v>17617.439999999999</v>
      </c>
      <c r="CA81" t="s">
        <v>110</v>
      </c>
      <c r="CC81" t="s">
        <v>167</v>
      </c>
      <c r="CD81">
        <v>1709</v>
      </c>
      <c r="CE81" t="s">
        <v>80</v>
      </c>
      <c r="CF81" s="2">
        <v>43973</v>
      </c>
      <c r="CI81">
        <v>2</v>
      </c>
      <c r="CJ81">
        <v>3</v>
      </c>
      <c r="CK81" t="s">
        <v>122</v>
      </c>
      <c r="CL81" t="s">
        <v>81</v>
      </c>
    </row>
    <row r="82" spans="1:90" x14ac:dyDescent="0.25">
      <c r="A82" t="s">
        <v>239</v>
      </c>
      <c r="B82" t="s">
        <v>240</v>
      </c>
      <c r="C82" t="s">
        <v>72</v>
      </c>
      <c r="E82" t="str">
        <f>"009940073313"</f>
        <v>009940073313</v>
      </c>
      <c r="F82" s="2">
        <v>43970</v>
      </c>
      <c r="G82">
        <v>202011</v>
      </c>
      <c r="H82" t="s">
        <v>91</v>
      </c>
      <c r="I82" t="s">
        <v>92</v>
      </c>
      <c r="J82" t="s">
        <v>236</v>
      </c>
      <c r="K82" t="s">
        <v>75</v>
      </c>
      <c r="L82" t="s">
        <v>166</v>
      </c>
      <c r="M82" t="s">
        <v>167</v>
      </c>
      <c r="N82" t="s">
        <v>499</v>
      </c>
      <c r="O82" t="s">
        <v>78</v>
      </c>
      <c r="P82" t="str">
        <f>"NA                            "</f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0.84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1</v>
      </c>
      <c r="BI82">
        <v>1.7</v>
      </c>
      <c r="BJ82">
        <v>1.8</v>
      </c>
      <c r="BK82">
        <v>2</v>
      </c>
      <c r="BL82">
        <v>42.71</v>
      </c>
      <c r="BM82">
        <v>6.41</v>
      </c>
      <c r="BN82">
        <v>49.12</v>
      </c>
      <c r="BO82">
        <v>49.12</v>
      </c>
      <c r="BQ82" t="s">
        <v>500</v>
      </c>
      <c r="BR82" t="s">
        <v>250</v>
      </c>
      <c r="BS82" s="2">
        <v>43971</v>
      </c>
      <c r="BT82" s="3">
        <v>0.3979166666666667</v>
      </c>
      <c r="BU82" t="s">
        <v>501</v>
      </c>
      <c r="BV82" t="s">
        <v>85</v>
      </c>
      <c r="BY82">
        <v>8982.82</v>
      </c>
      <c r="BZ82" t="s">
        <v>27</v>
      </c>
      <c r="CA82" t="s">
        <v>138</v>
      </c>
      <c r="CC82" t="s">
        <v>167</v>
      </c>
      <c r="CD82">
        <v>1724</v>
      </c>
      <c r="CE82" t="s">
        <v>231</v>
      </c>
      <c r="CF82" s="2">
        <v>43972</v>
      </c>
      <c r="CI82">
        <v>1</v>
      </c>
      <c r="CJ82">
        <v>1</v>
      </c>
      <c r="CK82">
        <v>21</v>
      </c>
      <c r="CL82" t="s">
        <v>81</v>
      </c>
    </row>
    <row r="83" spans="1:90" x14ac:dyDescent="0.25">
      <c r="A83" t="s">
        <v>239</v>
      </c>
      <c r="B83" t="s">
        <v>240</v>
      </c>
      <c r="C83" t="s">
        <v>72</v>
      </c>
      <c r="E83" t="str">
        <f>"069908438915"</f>
        <v>069908438915</v>
      </c>
      <c r="F83" s="2">
        <v>43970</v>
      </c>
      <c r="G83">
        <v>202011</v>
      </c>
      <c r="H83" t="s">
        <v>131</v>
      </c>
      <c r="I83" t="s">
        <v>132</v>
      </c>
      <c r="J83" t="s">
        <v>236</v>
      </c>
      <c r="K83" t="s">
        <v>75</v>
      </c>
      <c r="L83" t="s">
        <v>82</v>
      </c>
      <c r="M83" t="s">
        <v>83</v>
      </c>
      <c r="N83" t="s">
        <v>236</v>
      </c>
      <c r="O83" t="s">
        <v>78</v>
      </c>
      <c r="P83" t="str">
        <f>"CHARGE PE                     "</f>
        <v xml:space="preserve">CHARGE PE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2.2999999999999998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1</v>
      </c>
      <c r="BI83">
        <v>1.1000000000000001</v>
      </c>
      <c r="BJ83">
        <v>5.5</v>
      </c>
      <c r="BK83">
        <v>5.5</v>
      </c>
      <c r="BL83">
        <v>117.39</v>
      </c>
      <c r="BM83">
        <v>17.61</v>
      </c>
      <c r="BN83">
        <v>135</v>
      </c>
      <c r="BO83">
        <v>135</v>
      </c>
      <c r="BQ83" t="s">
        <v>214</v>
      </c>
      <c r="BR83" t="s">
        <v>237</v>
      </c>
      <c r="BS83" s="2">
        <v>43971</v>
      </c>
      <c r="BT83" s="3">
        <v>0.42430555555555555</v>
      </c>
      <c r="BU83" t="s">
        <v>329</v>
      </c>
      <c r="BV83" t="s">
        <v>85</v>
      </c>
      <c r="BY83">
        <v>27577.37</v>
      </c>
      <c r="BZ83" t="s">
        <v>27</v>
      </c>
      <c r="CA83" t="s">
        <v>84</v>
      </c>
      <c r="CC83" t="s">
        <v>83</v>
      </c>
      <c r="CD83">
        <v>6000</v>
      </c>
      <c r="CE83" t="s">
        <v>80</v>
      </c>
      <c r="CF83" s="2">
        <v>43972</v>
      </c>
      <c r="CI83">
        <v>1</v>
      </c>
      <c r="CJ83">
        <v>1</v>
      </c>
      <c r="CK83">
        <v>21</v>
      </c>
      <c r="CL83" t="s">
        <v>81</v>
      </c>
    </row>
    <row r="84" spans="1:90" x14ac:dyDescent="0.25">
      <c r="A84" t="s">
        <v>239</v>
      </c>
      <c r="B84" t="s">
        <v>240</v>
      </c>
      <c r="C84" t="s">
        <v>72</v>
      </c>
      <c r="E84" t="str">
        <f>"009940073276"</f>
        <v>009940073276</v>
      </c>
      <c r="F84" s="2">
        <v>43970</v>
      </c>
      <c r="G84">
        <v>202011</v>
      </c>
      <c r="H84" t="s">
        <v>91</v>
      </c>
      <c r="I84" t="s">
        <v>92</v>
      </c>
      <c r="J84" t="s">
        <v>236</v>
      </c>
      <c r="K84" t="s">
        <v>75</v>
      </c>
      <c r="L84" t="s">
        <v>105</v>
      </c>
      <c r="M84" t="s">
        <v>106</v>
      </c>
      <c r="N84" t="s">
        <v>502</v>
      </c>
      <c r="O84" t="s">
        <v>78</v>
      </c>
      <c r="P84" t="str">
        <f t="shared" ref="P84:P89" si="2">"NA                            "</f>
        <v xml:space="preserve">NA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0.84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1</v>
      </c>
      <c r="BI84">
        <v>1.8</v>
      </c>
      <c r="BJ84">
        <v>2</v>
      </c>
      <c r="BK84">
        <v>2</v>
      </c>
      <c r="BL84">
        <v>42.71</v>
      </c>
      <c r="BM84">
        <v>6.41</v>
      </c>
      <c r="BN84">
        <v>49.12</v>
      </c>
      <c r="BO84">
        <v>49.12</v>
      </c>
      <c r="BQ84" t="s">
        <v>503</v>
      </c>
      <c r="BR84" t="s">
        <v>250</v>
      </c>
      <c r="BS84" s="2">
        <v>43971</v>
      </c>
      <c r="BT84" s="3">
        <v>0.3972222222222222</v>
      </c>
      <c r="BU84" t="s">
        <v>504</v>
      </c>
      <c r="BV84" t="s">
        <v>85</v>
      </c>
      <c r="BY84">
        <v>10120.66</v>
      </c>
      <c r="BZ84" t="s">
        <v>27</v>
      </c>
      <c r="CC84" t="s">
        <v>106</v>
      </c>
      <c r="CD84">
        <v>2192</v>
      </c>
      <c r="CE84" t="s">
        <v>231</v>
      </c>
      <c r="CF84" s="2">
        <v>43972</v>
      </c>
      <c r="CI84">
        <v>1</v>
      </c>
      <c r="CJ84">
        <v>1</v>
      </c>
      <c r="CK84">
        <v>21</v>
      </c>
      <c r="CL84" t="s">
        <v>81</v>
      </c>
    </row>
    <row r="85" spans="1:90" x14ac:dyDescent="0.25">
      <c r="A85" t="s">
        <v>239</v>
      </c>
      <c r="B85" t="s">
        <v>240</v>
      </c>
      <c r="C85" t="s">
        <v>72</v>
      </c>
      <c r="E85" t="str">
        <f>"009940073279"</f>
        <v>009940073279</v>
      </c>
      <c r="F85" s="2">
        <v>43970</v>
      </c>
      <c r="G85">
        <v>202011</v>
      </c>
      <c r="H85" t="s">
        <v>91</v>
      </c>
      <c r="I85" t="s">
        <v>92</v>
      </c>
      <c r="J85" t="s">
        <v>236</v>
      </c>
      <c r="K85" t="s">
        <v>75</v>
      </c>
      <c r="L85" t="s">
        <v>105</v>
      </c>
      <c r="M85" t="s">
        <v>106</v>
      </c>
      <c r="N85" t="s">
        <v>505</v>
      </c>
      <c r="O85" t="s">
        <v>78</v>
      </c>
      <c r="P85" t="str">
        <f t="shared" si="2"/>
        <v xml:space="preserve">NA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6.28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1</v>
      </c>
      <c r="BI85">
        <v>15</v>
      </c>
      <c r="BJ85">
        <v>14.9</v>
      </c>
      <c r="BK85">
        <v>15</v>
      </c>
      <c r="BL85">
        <v>320.11</v>
      </c>
      <c r="BM85">
        <v>48.02</v>
      </c>
      <c r="BN85">
        <v>368.13</v>
      </c>
      <c r="BO85">
        <v>368.13</v>
      </c>
      <c r="BQ85" t="s">
        <v>506</v>
      </c>
      <c r="BR85" t="s">
        <v>250</v>
      </c>
      <c r="BS85" s="2">
        <v>43971</v>
      </c>
      <c r="BT85" s="3">
        <v>0.40625</v>
      </c>
      <c r="BU85" t="s">
        <v>507</v>
      </c>
      <c r="BV85" t="s">
        <v>85</v>
      </c>
      <c r="BY85">
        <v>74685.600000000006</v>
      </c>
      <c r="BZ85" t="s">
        <v>27</v>
      </c>
      <c r="CC85" t="s">
        <v>106</v>
      </c>
      <c r="CD85">
        <v>2059</v>
      </c>
      <c r="CE85" t="s">
        <v>315</v>
      </c>
      <c r="CF85" s="2">
        <v>43972</v>
      </c>
      <c r="CI85">
        <v>1</v>
      </c>
      <c r="CJ85">
        <v>1</v>
      </c>
      <c r="CK85">
        <v>21</v>
      </c>
      <c r="CL85" t="s">
        <v>81</v>
      </c>
    </row>
    <row r="86" spans="1:90" x14ac:dyDescent="0.25">
      <c r="A86" t="s">
        <v>239</v>
      </c>
      <c r="B86" t="s">
        <v>240</v>
      </c>
      <c r="C86" t="s">
        <v>72</v>
      </c>
      <c r="E86" t="str">
        <f>"009940073305"</f>
        <v>009940073305</v>
      </c>
      <c r="F86" s="2">
        <v>43970</v>
      </c>
      <c r="G86">
        <v>202011</v>
      </c>
      <c r="H86" t="s">
        <v>91</v>
      </c>
      <c r="I86" t="s">
        <v>92</v>
      </c>
      <c r="J86" t="s">
        <v>236</v>
      </c>
      <c r="K86" t="s">
        <v>75</v>
      </c>
      <c r="L86" t="s">
        <v>153</v>
      </c>
      <c r="M86" t="s">
        <v>154</v>
      </c>
      <c r="N86" t="s">
        <v>508</v>
      </c>
      <c r="O86" t="s">
        <v>78</v>
      </c>
      <c r="P86" t="str">
        <f t="shared" si="2"/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12.25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1</v>
      </c>
      <c r="BI86">
        <v>16.399999999999999</v>
      </c>
      <c r="BJ86">
        <v>15.7</v>
      </c>
      <c r="BK86">
        <v>16.5</v>
      </c>
      <c r="BL86">
        <v>624.65</v>
      </c>
      <c r="BM86">
        <v>93.7</v>
      </c>
      <c r="BN86">
        <v>718.35</v>
      </c>
      <c r="BO86">
        <v>718.35</v>
      </c>
      <c r="BQ86" t="s">
        <v>509</v>
      </c>
      <c r="BR86" t="s">
        <v>250</v>
      </c>
      <c r="BS86" s="2">
        <v>43971</v>
      </c>
      <c r="BT86" s="3">
        <v>0.33333333333333331</v>
      </c>
      <c r="BU86" t="s">
        <v>510</v>
      </c>
      <c r="BV86" t="s">
        <v>85</v>
      </c>
      <c r="BY86">
        <v>78694.350000000006</v>
      </c>
      <c r="BZ86" t="s">
        <v>27</v>
      </c>
      <c r="CC86" t="s">
        <v>154</v>
      </c>
      <c r="CD86">
        <v>1947</v>
      </c>
      <c r="CE86" t="s">
        <v>315</v>
      </c>
      <c r="CF86" s="2">
        <v>43972</v>
      </c>
      <c r="CI86">
        <v>1</v>
      </c>
      <c r="CJ86">
        <v>1</v>
      </c>
      <c r="CK86">
        <v>23</v>
      </c>
      <c r="CL86" t="s">
        <v>81</v>
      </c>
    </row>
    <row r="87" spans="1:90" x14ac:dyDescent="0.25">
      <c r="A87" t="s">
        <v>239</v>
      </c>
      <c r="B87" t="s">
        <v>240</v>
      </c>
      <c r="C87" t="s">
        <v>72</v>
      </c>
      <c r="E87" t="str">
        <f>"009940073277"</f>
        <v>009940073277</v>
      </c>
      <c r="F87" s="2">
        <v>43970</v>
      </c>
      <c r="G87">
        <v>202011</v>
      </c>
      <c r="H87" t="s">
        <v>91</v>
      </c>
      <c r="I87" t="s">
        <v>92</v>
      </c>
      <c r="J87" t="s">
        <v>236</v>
      </c>
      <c r="K87" t="s">
        <v>75</v>
      </c>
      <c r="L87" t="s">
        <v>209</v>
      </c>
      <c r="M87" t="s">
        <v>210</v>
      </c>
      <c r="N87" t="s">
        <v>511</v>
      </c>
      <c r="O87" t="s">
        <v>78</v>
      </c>
      <c r="P87" t="str">
        <f t="shared" si="2"/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7.11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1</v>
      </c>
      <c r="BI87">
        <v>17</v>
      </c>
      <c r="BJ87">
        <v>14.6</v>
      </c>
      <c r="BK87">
        <v>17</v>
      </c>
      <c r="BL87">
        <v>362.78</v>
      </c>
      <c r="BM87">
        <v>54.42</v>
      </c>
      <c r="BN87">
        <v>417.2</v>
      </c>
      <c r="BO87">
        <v>417.2</v>
      </c>
      <c r="BQ87" t="s">
        <v>512</v>
      </c>
      <c r="BR87" t="s">
        <v>250</v>
      </c>
      <c r="BS87" s="2">
        <v>43972</v>
      </c>
      <c r="BT87" s="3">
        <v>0.41666666666666669</v>
      </c>
      <c r="BU87" t="s">
        <v>513</v>
      </c>
      <c r="BV87" t="s">
        <v>81</v>
      </c>
      <c r="BW87" t="s">
        <v>124</v>
      </c>
      <c r="BX87" t="s">
        <v>227</v>
      </c>
      <c r="BY87">
        <v>73015.8</v>
      </c>
      <c r="BZ87" t="s">
        <v>27</v>
      </c>
      <c r="CA87" t="s">
        <v>514</v>
      </c>
      <c r="CC87" t="s">
        <v>210</v>
      </c>
      <c r="CD87">
        <v>3900</v>
      </c>
      <c r="CE87" t="s">
        <v>315</v>
      </c>
      <c r="CF87" s="2">
        <v>43977</v>
      </c>
      <c r="CI87">
        <v>1</v>
      </c>
      <c r="CJ87">
        <v>2</v>
      </c>
      <c r="CK87">
        <v>21</v>
      </c>
      <c r="CL87" t="s">
        <v>81</v>
      </c>
    </row>
    <row r="88" spans="1:90" x14ac:dyDescent="0.25">
      <c r="A88" t="s">
        <v>239</v>
      </c>
      <c r="B88" t="s">
        <v>240</v>
      </c>
      <c r="C88" t="s">
        <v>72</v>
      </c>
      <c r="E88" t="str">
        <f>"009940073306"</f>
        <v>009940073306</v>
      </c>
      <c r="F88" s="2">
        <v>43970</v>
      </c>
      <c r="G88">
        <v>202011</v>
      </c>
      <c r="H88" t="s">
        <v>91</v>
      </c>
      <c r="I88" t="s">
        <v>92</v>
      </c>
      <c r="J88" t="s">
        <v>236</v>
      </c>
      <c r="K88" t="s">
        <v>75</v>
      </c>
      <c r="L88" t="s">
        <v>97</v>
      </c>
      <c r="M88" t="s">
        <v>98</v>
      </c>
      <c r="N88" t="s">
        <v>515</v>
      </c>
      <c r="O88" t="s">
        <v>78</v>
      </c>
      <c r="P88" t="str">
        <f t="shared" si="2"/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7.11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1</v>
      </c>
      <c r="BI88">
        <v>16.899999999999999</v>
      </c>
      <c r="BJ88">
        <v>16.2</v>
      </c>
      <c r="BK88">
        <v>17</v>
      </c>
      <c r="BL88">
        <v>362.78</v>
      </c>
      <c r="BM88">
        <v>54.42</v>
      </c>
      <c r="BN88">
        <v>417.2</v>
      </c>
      <c r="BO88">
        <v>417.2</v>
      </c>
      <c r="BQ88" t="s">
        <v>516</v>
      </c>
      <c r="BR88" t="s">
        <v>250</v>
      </c>
      <c r="BS88" s="2">
        <v>43972</v>
      </c>
      <c r="BT88" s="3">
        <v>0.55625000000000002</v>
      </c>
      <c r="BU88" t="s">
        <v>185</v>
      </c>
      <c r="BV88" t="s">
        <v>81</v>
      </c>
      <c r="BW88" t="s">
        <v>86</v>
      </c>
      <c r="BX88" t="s">
        <v>96</v>
      </c>
      <c r="BY88">
        <v>80825.25</v>
      </c>
      <c r="BZ88" t="s">
        <v>27</v>
      </c>
      <c r="CA88" t="s">
        <v>186</v>
      </c>
      <c r="CC88" t="s">
        <v>98</v>
      </c>
      <c r="CD88">
        <v>4319</v>
      </c>
      <c r="CE88" t="s">
        <v>315</v>
      </c>
      <c r="CF88" s="2">
        <v>43973</v>
      </c>
      <c r="CI88">
        <v>1</v>
      </c>
      <c r="CJ88">
        <v>2</v>
      </c>
      <c r="CK88">
        <v>21</v>
      </c>
      <c r="CL88" t="s">
        <v>81</v>
      </c>
    </row>
    <row r="89" spans="1:90" x14ac:dyDescent="0.25">
      <c r="A89" t="s">
        <v>239</v>
      </c>
      <c r="B89" t="s">
        <v>240</v>
      </c>
      <c r="C89" t="s">
        <v>72</v>
      </c>
      <c r="E89" t="str">
        <f>"009940073278"</f>
        <v>009940073278</v>
      </c>
      <c r="F89" s="2">
        <v>43970</v>
      </c>
      <c r="G89">
        <v>202011</v>
      </c>
      <c r="H89" t="s">
        <v>91</v>
      </c>
      <c r="I89" t="s">
        <v>92</v>
      </c>
      <c r="J89" t="s">
        <v>236</v>
      </c>
      <c r="K89" t="s">
        <v>75</v>
      </c>
      <c r="L89" t="s">
        <v>172</v>
      </c>
      <c r="M89" t="s">
        <v>173</v>
      </c>
      <c r="N89" t="s">
        <v>517</v>
      </c>
      <c r="O89" t="s">
        <v>78</v>
      </c>
      <c r="P89" t="str">
        <f t="shared" si="2"/>
        <v xml:space="preserve">NA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13.35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1</v>
      </c>
      <c r="BI89">
        <v>16.399999999999999</v>
      </c>
      <c r="BJ89">
        <v>17.7</v>
      </c>
      <c r="BK89">
        <v>18</v>
      </c>
      <c r="BL89">
        <v>680.71</v>
      </c>
      <c r="BM89">
        <v>102.11</v>
      </c>
      <c r="BN89">
        <v>782.82</v>
      </c>
      <c r="BO89">
        <v>782.82</v>
      </c>
      <c r="BQ89" t="s">
        <v>459</v>
      </c>
      <c r="BR89" t="s">
        <v>250</v>
      </c>
      <c r="BS89" s="2">
        <v>43971</v>
      </c>
      <c r="BT89" s="3">
        <v>0.43055555555555558</v>
      </c>
      <c r="BU89" t="s">
        <v>518</v>
      </c>
      <c r="BV89" t="s">
        <v>85</v>
      </c>
      <c r="BY89">
        <v>88728.5</v>
      </c>
      <c r="BZ89" t="s">
        <v>27</v>
      </c>
      <c r="CA89" t="s">
        <v>219</v>
      </c>
      <c r="CC89" t="s">
        <v>173</v>
      </c>
      <c r="CD89">
        <v>299</v>
      </c>
      <c r="CE89" t="s">
        <v>315</v>
      </c>
      <c r="CF89" s="2">
        <v>43974</v>
      </c>
      <c r="CI89">
        <v>1</v>
      </c>
      <c r="CJ89">
        <v>1</v>
      </c>
      <c r="CK89">
        <v>23</v>
      </c>
      <c r="CL89" t="s">
        <v>81</v>
      </c>
    </row>
    <row r="90" spans="1:90" x14ac:dyDescent="0.25">
      <c r="A90" t="s">
        <v>239</v>
      </c>
      <c r="B90" t="s">
        <v>240</v>
      </c>
      <c r="C90" t="s">
        <v>72</v>
      </c>
      <c r="E90" t="str">
        <f>"069908438912"</f>
        <v>069908438912</v>
      </c>
      <c r="F90" s="2">
        <v>43970</v>
      </c>
      <c r="G90">
        <v>202011</v>
      </c>
      <c r="H90" t="s">
        <v>131</v>
      </c>
      <c r="I90" t="s">
        <v>132</v>
      </c>
      <c r="J90" t="s">
        <v>236</v>
      </c>
      <c r="K90" t="s">
        <v>75</v>
      </c>
      <c r="L90" t="s">
        <v>91</v>
      </c>
      <c r="M90" t="s">
        <v>92</v>
      </c>
      <c r="N90" t="s">
        <v>236</v>
      </c>
      <c r="O90" t="s">
        <v>78</v>
      </c>
      <c r="P90" t="str">
        <f>"* CHARGE CAPE TOWN            "</f>
        <v xml:space="preserve">* CHARGE CAPE TOWN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2.2999999999999998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1</v>
      </c>
      <c r="BI90">
        <v>2.7</v>
      </c>
      <c r="BJ90">
        <v>5.5</v>
      </c>
      <c r="BK90">
        <v>5.5</v>
      </c>
      <c r="BL90">
        <v>117.39</v>
      </c>
      <c r="BM90">
        <v>17.61</v>
      </c>
      <c r="BN90">
        <v>135</v>
      </c>
      <c r="BO90">
        <v>135</v>
      </c>
      <c r="BQ90" t="s">
        <v>297</v>
      </c>
      <c r="BR90" t="s">
        <v>519</v>
      </c>
      <c r="BS90" s="2">
        <v>43971</v>
      </c>
      <c r="BT90" s="3">
        <v>0.41388888888888892</v>
      </c>
      <c r="BU90" t="s">
        <v>332</v>
      </c>
      <c r="BV90" t="s">
        <v>85</v>
      </c>
      <c r="BY90">
        <v>27701.86</v>
      </c>
      <c r="BZ90" t="s">
        <v>27</v>
      </c>
      <c r="CA90" t="s">
        <v>125</v>
      </c>
      <c r="CC90" t="s">
        <v>92</v>
      </c>
      <c r="CD90">
        <v>7800</v>
      </c>
      <c r="CE90" t="s">
        <v>80</v>
      </c>
      <c r="CF90" s="2">
        <v>43972</v>
      </c>
      <c r="CI90">
        <v>1</v>
      </c>
      <c r="CJ90">
        <v>1</v>
      </c>
      <c r="CK90">
        <v>21</v>
      </c>
      <c r="CL90" t="s">
        <v>81</v>
      </c>
    </row>
    <row r="91" spans="1:90" x14ac:dyDescent="0.25">
      <c r="A91" t="s">
        <v>239</v>
      </c>
      <c r="B91" t="s">
        <v>240</v>
      </c>
      <c r="C91" t="s">
        <v>72</v>
      </c>
      <c r="E91" t="str">
        <f>"009939780626"</f>
        <v>009939780626</v>
      </c>
      <c r="F91" s="2">
        <v>43971</v>
      </c>
      <c r="G91">
        <v>202011</v>
      </c>
      <c r="H91" t="s">
        <v>131</v>
      </c>
      <c r="I91" t="s">
        <v>132</v>
      </c>
      <c r="J91" t="s">
        <v>472</v>
      </c>
      <c r="K91" t="s">
        <v>75</v>
      </c>
      <c r="L91" t="s">
        <v>123</v>
      </c>
      <c r="M91" t="s">
        <v>92</v>
      </c>
      <c r="N91" t="s">
        <v>472</v>
      </c>
      <c r="O91" t="s">
        <v>103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1.71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1</v>
      </c>
      <c r="BI91">
        <v>4.3</v>
      </c>
      <c r="BJ91">
        <v>4.0999999999999996</v>
      </c>
      <c r="BK91">
        <v>5</v>
      </c>
      <c r="BL91">
        <v>92.42</v>
      </c>
      <c r="BM91">
        <v>13.86</v>
      </c>
      <c r="BN91">
        <v>106.28</v>
      </c>
      <c r="BO91">
        <v>106.28</v>
      </c>
      <c r="BQ91" t="s">
        <v>297</v>
      </c>
      <c r="BR91" t="s">
        <v>215</v>
      </c>
      <c r="BS91" s="2">
        <v>43973</v>
      </c>
      <c r="BT91" s="3">
        <v>0.47500000000000003</v>
      </c>
      <c r="BU91" t="s">
        <v>520</v>
      </c>
      <c r="BV91" t="s">
        <v>85</v>
      </c>
      <c r="BY91">
        <v>20699.88</v>
      </c>
      <c r="CA91" t="s">
        <v>161</v>
      </c>
      <c r="CC91" t="s">
        <v>92</v>
      </c>
      <c r="CD91">
        <v>7800</v>
      </c>
      <c r="CE91" t="s">
        <v>80</v>
      </c>
      <c r="CF91" s="2">
        <v>43976</v>
      </c>
      <c r="CI91">
        <v>2</v>
      </c>
      <c r="CJ91">
        <v>2</v>
      </c>
      <c r="CK91" t="s">
        <v>122</v>
      </c>
      <c r="CL91" t="s">
        <v>81</v>
      </c>
    </row>
    <row r="92" spans="1:90" x14ac:dyDescent="0.25">
      <c r="A92" t="s">
        <v>239</v>
      </c>
      <c r="B92" t="s">
        <v>240</v>
      </c>
      <c r="C92" t="s">
        <v>72</v>
      </c>
      <c r="E92" t="str">
        <f>"080002580229"</f>
        <v>080002580229</v>
      </c>
      <c r="F92" s="2">
        <v>43971</v>
      </c>
      <c r="G92">
        <v>202011</v>
      </c>
      <c r="H92" t="s">
        <v>105</v>
      </c>
      <c r="I92" t="s">
        <v>106</v>
      </c>
      <c r="J92" t="s">
        <v>319</v>
      </c>
      <c r="K92" t="s">
        <v>75</v>
      </c>
      <c r="L92" t="s">
        <v>521</v>
      </c>
      <c r="M92" t="s">
        <v>522</v>
      </c>
      <c r="N92" t="s">
        <v>523</v>
      </c>
      <c r="O92" t="s">
        <v>78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1.62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82.74</v>
      </c>
      <c r="BM92">
        <v>12.41</v>
      </c>
      <c r="BN92">
        <v>95.15</v>
      </c>
      <c r="BO92">
        <v>95.15</v>
      </c>
      <c r="BQ92" t="s">
        <v>524</v>
      </c>
      <c r="BR92" t="s">
        <v>525</v>
      </c>
      <c r="BS92" s="2">
        <v>43973</v>
      </c>
      <c r="BT92" s="3">
        <v>0.48888888888888887</v>
      </c>
      <c r="BU92" t="s">
        <v>526</v>
      </c>
      <c r="BV92" t="s">
        <v>85</v>
      </c>
      <c r="BY92">
        <v>1200</v>
      </c>
      <c r="CA92" t="s">
        <v>527</v>
      </c>
      <c r="CC92" t="s">
        <v>522</v>
      </c>
      <c r="CD92">
        <v>7220</v>
      </c>
      <c r="CE92" t="s">
        <v>88</v>
      </c>
      <c r="CF92" s="2">
        <v>43977</v>
      </c>
      <c r="CI92">
        <v>3</v>
      </c>
      <c r="CJ92">
        <v>2</v>
      </c>
      <c r="CK92">
        <v>23</v>
      </c>
      <c r="CL92" t="s">
        <v>81</v>
      </c>
    </row>
    <row r="93" spans="1:90" x14ac:dyDescent="0.25">
      <c r="A93" t="s">
        <v>239</v>
      </c>
      <c r="B93" t="s">
        <v>240</v>
      </c>
      <c r="C93" t="s">
        <v>72</v>
      </c>
      <c r="E93" t="str">
        <f>"080002580237"</f>
        <v>080002580237</v>
      </c>
      <c r="F93" s="2">
        <v>43971</v>
      </c>
      <c r="G93">
        <v>202011</v>
      </c>
      <c r="H93" t="s">
        <v>105</v>
      </c>
      <c r="I93" t="s">
        <v>106</v>
      </c>
      <c r="J93" t="s">
        <v>319</v>
      </c>
      <c r="K93" t="s">
        <v>75</v>
      </c>
      <c r="L93" t="s">
        <v>528</v>
      </c>
      <c r="M93" t="s">
        <v>529</v>
      </c>
      <c r="N93" t="s">
        <v>523</v>
      </c>
      <c r="O93" t="s">
        <v>78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1.62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82.74</v>
      </c>
      <c r="BM93">
        <v>12.41</v>
      </c>
      <c r="BN93">
        <v>95.15</v>
      </c>
      <c r="BO93">
        <v>95.15</v>
      </c>
      <c r="BQ93" t="s">
        <v>524</v>
      </c>
      <c r="BR93" t="s">
        <v>525</v>
      </c>
      <c r="BS93" s="2">
        <v>43973</v>
      </c>
      <c r="BT93" s="3">
        <v>0.625</v>
      </c>
      <c r="BU93" t="s">
        <v>530</v>
      </c>
      <c r="BV93" t="s">
        <v>85</v>
      </c>
      <c r="BY93">
        <v>1200</v>
      </c>
      <c r="CA93" t="s">
        <v>527</v>
      </c>
      <c r="CC93" t="s">
        <v>529</v>
      </c>
      <c r="CD93">
        <v>7200</v>
      </c>
      <c r="CE93" t="s">
        <v>88</v>
      </c>
      <c r="CF93" s="2">
        <v>43977</v>
      </c>
      <c r="CI93">
        <v>3</v>
      </c>
      <c r="CJ93">
        <v>2</v>
      </c>
      <c r="CK93">
        <v>23</v>
      </c>
      <c r="CL93" t="s">
        <v>81</v>
      </c>
    </row>
    <row r="94" spans="1:90" x14ac:dyDescent="0.25">
      <c r="A94" t="s">
        <v>239</v>
      </c>
      <c r="B94" t="s">
        <v>240</v>
      </c>
      <c r="C94" t="s">
        <v>72</v>
      </c>
      <c r="E94" t="str">
        <f>"009939921423"</f>
        <v>009939921423</v>
      </c>
      <c r="F94" s="2">
        <v>43956</v>
      </c>
      <c r="G94">
        <v>202011</v>
      </c>
      <c r="H94" t="s">
        <v>117</v>
      </c>
      <c r="I94" t="s">
        <v>118</v>
      </c>
      <c r="J94" t="s">
        <v>451</v>
      </c>
      <c r="K94" t="s">
        <v>75</v>
      </c>
      <c r="L94" t="s">
        <v>105</v>
      </c>
      <c r="M94" t="s">
        <v>106</v>
      </c>
      <c r="N94" t="s">
        <v>451</v>
      </c>
      <c r="O94" t="s">
        <v>78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4.1900000000000004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G94">
        <v>0</v>
      </c>
      <c r="BH94">
        <v>1</v>
      </c>
      <c r="BI94">
        <v>0.2</v>
      </c>
      <c r="BJ94">
        <v>1.1000000000000001</v>
      </c>
      <c r="BK94">
        <v>1.5</v>
      </c>
      <c r="BL94">
        <v>46.06</v>
      </c>
      <c r="BM94">
        <v>6.91</v>
      </c>
      <c r="BN94">
        <v>52.97</v>
      </c>
      <c r="BO94">
        <v>52.97</v>
      </c>
      <c r="BS94" s="2">
        <v>43957</v>
      </c>
      <c r="BT94" s="3">
        <v>0.45347222222222222</v>
      </c>
      <c r="BU94" t="s">
        <v>163</v>
      </c>
      <c r="BV94" t="s">
        <v>85</v>
      </c>
      <c r="BY94">
        <v>5413.84</v>
      </c>
      <c r="BZ94" t="s">
        <v>27</v>
      </c>
      <c r="CC94" t="s">
        <v>106</v>
      </c>
      <c r="CD94">
        <v>2021</v>
      </c>
      <c r="CE94" t="s">
        <v>80</v>
      </c>
      <c r="CF94" s="2">
        <v>43958</v>
      </c>
      <c r="CI94">
        <v>1</v>
      </c>
      <c r="CJ94">
        <v>1</v>
      </c>
      <c r="CK94">
        <v>21</v>
      </c>
      <c r="CL94" t="s">
        <v>81</v>
      </c>
    </row>
    <row r="95" spans="1:90" x14ac:dyDescent="0.25">
      <c r="A95" t="s">
        <v>239</v>
      </c>
      <c r="B95" t="s">
        <v>240</v>
      </c>
      <c r="C95" t="s">
        <v>72</v>
      </c>
      <c r="E95" t="str">
        <f>"009940073282"</f>
        <v>009940073282</v>
      </c>
      <c r="F95" s="2">
        <v>43971</v>
      </c>
      <c r="G95">
        <v>202011</v>
      </c>
      <c r="H95" t="s">
        <v>91</v>
      </c>
      <c r="I95" t="s">
        <v>92</v>
      </c>
      <c r="J95" t="s">
        <v>236</v>
      </c>
      <c r="K95" t="s">
        <v>75</v>
      </c>
      <c r="L95" t="s">
        <v>76</v>
      </c>
      <c r="M95" t="s">
        <v>77</v>
      </c>
      <c r="N95" t="s">
        <v>531</v>
      </c>
      <c r="O95" t="s">
        <v>78</v>
      </c>
      <c r="P95" t="str">
        <f>"NA                            "</f>
        <v xml:space="preserve">NA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3.77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G95">
        <v>0</v>
      </c>
      <c r="BH95">
        <v>1</v>
      </c>
      <c r="BI95">
        <v>9</v>
      </c>
      <c r="BJ95">
        <v>7.9</v>
      </c>
      <c r="BK95">
        <v>9</v>
      </c>
      <c r="BL95">
        <v>192.08</v>
      </c>
      <c r="BM95">
        <v>28.81</v>
      </c>
      <c r="BN95">
        <v>220.89</v>
      </c>
      <c r="BO95">
        <v>220.89</v>
      </c>
      <c r="BQ95" t="s">
        <v>532</v>
      </c>
      <c r="BR95" t="s">
        <v>250</v>
      </c>
      <c r="BS95" s="2">
        <v>43972</v>
      </c>
      <c r="BT95" s="3">
        <v>0.43541666666666662</v>
      </c>
      <c r="BU95" t="s">
        <v>533</v>
      </c>
      <c r="BV95" t="s">
        <v>85</v>
      </c>
      <c r="BY95">
        <v>39637.08</v>
      </c>
      <c r="BZ95" t="s">
        <v>27</v>
      </c>
      <c r="CA95" t="s">
        <v>534</v>
      </c>
      <c r="CC95" t="s">
        <v>77</v>
      </c>
      <c r="CD95">
        <v>7</v>
      </c>
      <c r="CE95" t="s">
        <v>315</v>
      </c>
      <c r="CF95" s="2">
        <v>43973</v>
      </c>
      <c r="CI95">
        <v>1</v>
      </c>
      <c r="CJ95">
        <v>1</v>
      </c>
      <c r="CK95">
        <v>21</v>
      </c>
      <c r="CL95" t="s">
        <v>81</v>
      </c>
    </row>
    <row r="96" spans="1:90" x14ac:dyDescent="0.25">
      <c r="A96" t="s">
        <v>239</v>
      </c>
      <c r="B96" t="s">
        <v>240</v>
      </c>
      <c r="C96" t="s">
        <v>72</v>
      </c>
      <c r="E96" t="str">
        <f>"009940073314"</f>
        <v>009940073314</v>
      </c>
      <c r="F96" s="2">
        <v>43971</v>
      </c>
      <c r="G96">
        <v>202011</v>
      </c>
      <c r="H96" t="s">
        <v>91</v>
      </c>
      <c r="I96" t="s">
        <v>92</v>
      </c>
      <c r="J96" t="s">
        <v>236</v>
      </c>
      <c r="K96" t="s">
        <v>75</v>
      </c>
      <c r="L96" t="s">
        <v>91</v>
      </c>
      <c r="M96" t="s">
        <v>92</v>
      </c>
      <c r="N96" t="s">
        <v>535</v>
      </c>
      <c r="O96" t="s">
        <v>78</v>
      </c>
      <c r="P96" t="str">
        <f>"NA                            "</f>
        <v xml:space="preserve">NA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0.65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G96">
        <v>0</v>
      </c>
      <c r="BH96">
        <v>1</v>
      </c>
      <c r="BI96">
        <v>0.8</v>
      </c>
      <c r="BJ96">
        <v>1.7</v>
      </c>
      <c r="BK96">
        <v>2</v>
      </c>
      <c r="BL96">
        <v>33.36</v>
      </c>
      <c r="BM96">
        <v>5</v>
      </c>
      <c r="BN96">
        <v>38.36</v>
      </c>
      <c r="BO96">
        <v>38.36</v>
      </c>
      <c r="BQ96" t="s">
        <v>536</v>
      </c>
      <c r="BR96" t="s">
        <v>250</v>
      </c>
      <c r="BS96" s="2">
        <v>43972</v>
      </c>
      <c r="BT96" s="3">
        <v>0.43055555555555558</v>
      </c>
      <c r="BU96" t="s">
        <v>537</v>
      </c>
      <c r="BV96" t="s">
        <v>85</v>
      </c>
      <c r="BY96">
        <v>8527.7999999999993</v>
      </c>
      <c r="BZ96" t="s">
        <v>27</v>
      </c>
      <c r="CA96" t="s">
        <v>477</v>
      </c>
      <c r="CC96" t="s">
        <v>92</v>
      </c>
      <c r="CD96">
        <v>7460</v>
      </c>
      <c r="CE96" t="s">
        <v>231</v>
      </c>
      <c r="CF96" s="2">
        <v>43973</v>
      </c>
      <c r="CI96">
        <v>1</v>
      </c>
      <c r="CJ96">
        <v>1</v>
      </c>
      <c r="CK96">
        <v>22</v>
      </c>
      <c r="CL96" t="s">
        <v>81</v>
      </c>
    </row>
    <row r="97" spans="1:90" x14ac:dyDescent="0.25">
      <c r="A97" t="s">
        <v>239</v>
      </c>
      <c r="B97" t="s">
        <v>240</v>
      </c>
      <c r="C97" t="s">
        <v>72</v>
      </c>
      <c r="E97" t="str">
        <f>"009940073281"</f>
        <v>009940073281</v>
      </c>
      <c r="F97" s="2">
        <v>43971</v>
      </c>
      <c r="G97">
        <v>202011</v>
      </c>
      <c r="H97" t="s">
        <v>91</v>
      </c>
      <c r="I97" t="s">
        <v>92</v>
      </c>
      <c r="J97" t="s">
        <v>236</v>
      </c>
      <c r="K97" t="s">
        <v>75</v>
      </c>
      <c r="L97" t="s">
        <v>131</v>
      </c>
      <c r="M97" t="s">
        <v>132</v>
      </c>
      <c r="N97" t="s">
        <v>538</v>
      </c>
      <c r="O97" t="s">
        <v>78</v>
      </c>
      <c r="P97" t="str">
        <f>"NA                            "</f>
        <v xml:space="preserve">NA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0.84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G97">
        <v>0</v>
      </c>
      <c r="BH97">
        <v>1</v>
      </c>
      <c r="BI97">
        <v>0.3</v>
      </c>
      <c r="BJ97">
        <v>1.2</v>
      </c>
      <c r="BK97">
        <v>1.5</v>
      </c>
      <c r="BL97">
        <v>42.71</v>
      </c>
      <c r="BM97">
        <v>6.41</v>
      </c>
      <c r="BN97">
        <v>49.12</v>
      </c>
      <c r="BO97">
        <v>49.12</v>
      </c>
      <c r="BQ97" t="s">
        <v>539</v>
      </c>
      <c r="BR97" t="s">
        <v>250</v>
      </c>
      <c r="BS97" s="2">
        <v>43972</v>
      </c>
      <c r="BT97" s="3">
        <v>0.32222222222222224</v>
      </c>
      <c r="BU97" t="s">
        <v>225</v>
      </c>
      <c r="BV97" t="s">
        <v>85</v>
      </c>
      <c r="BY97">
        <v>6098.4</v>
      </c>
      <c r="BZ97" t="s">
        <v>27</v>
      </c>
      <c r="CC97" t="s">
        <v>132</v>
      </c>
      <c r="CD97">
        <v>1683</v>
      </c>
      <c r="CE97" t="s">
        <v>540</v>
      </c>
      <c r="CF97" s="2">
        <v>43973</v>
      </c>
      <c r="CI97">
        <v>1</v>
      </c>
      <c r="CJ97">
        <v>1</v>
      </c>
      <c r="CK97">
        <v>21</v>
      </c>
      <c r="CL97" t="s">
        <v>81</v>
      </c>
    </row>
    <row r="98" spans="1:90" x14ac:dyDescent="0.25">
      <c r="A98" t="s">
        <v>239</v>
      </c>
      <c r="B98" t="s">
        <v>240</v>
      </c>
      <c r="C98" t="s">
        <v>72</v>
      </c>
      <c r="E98" t="str">
        <f>"009940073283"</f>
        <v>009940073283</v>
      </c>
      <c r="F98" s="2">
        <v>43971</v>
      </c>
      <c r="G98">
        <v>202011</v>
      </c>
      <c r="H98" t="s">
        <v>91</v>
      </c>
      <c r="I98" t="s">
        <v>92</v>
      </c>
      <c r="J98" t="s">
        <v>236</v>
      </c>
      <c r="K98" t="s">
        <v>75</v>
      </c>
      <c r="L98" t="s">
        <v>127</v>
      </c>
      <c r="M98" t="s">
        <v>128</v>
      </c>
      <c r="N98" t="s">
        <v>541</v>
      </c>
      <c r="O98" t="s">
        <v>78</v>
      </c>
      <c r="P98" t="str">
        <f>"NA                            "</f>
        <v xml:space="preserve">NA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3.98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G98">
        <v>0</v>
      </c>
      <c r="BH98">
        <v>1</v>
      </c>
      <c r="BI98">
        <v>9.1999999999999993</v>
      </c>
      <c r="BJ98">
        <v>8.6999999999999993</v>
      </c>
      <c r="BK98">
        <v>9.5</v>
      </c>
      <c r="BL98">
        <v>202.75</v>
      </c>
      <c r="BM98">
        <v>30.41</v>
      </c>
      <c r="BN98">
        <v>233.16</v>
      </c>
      <c r="BO98">
        <v>233.16</v>
      </c>
      <c r="BQ98" t="s">
        <v>427</v>
      </c>
      <c r="BR98" t="s">
        <v>250</v>
      </c>
      <c r="BS98" s="2">
        <v>43972</v>
      </c>
      <c r="BT98" s="3">
        <v>0.4284722222222222</v>
      </c>
      <c r="BU98" t="s">
        <v>542</v>
      </c>
      <c r="BV98" t="s">
        <v>85</v>
      </c>
      <c r="BY98">
        <v>43552.52</v>
      </c>
      <c r="BZ98" t="s">
        <v>27</v>
      </c>
      <c r="CC98" t="s">
        <v>128</v>
      </c>
      <c r="CD98">
        <v>2158</v>
      </c>
      <c r="CE98" t="s">
        <v>315</v>
      </c>
      <c r="CF98" s="2">
        <v>43973</v>
      </c>
      <c r="CI98">
        <v>1</v>
      </c>
      <c r="CJ98">
        <v>1</v>
      </c>
      <c r="CK98">
        <v>21</v>
      </c>
      <c r="CL98" t="s">
        <v>81</v>
      </c>
    </row>
    <row r="99" spans="1:90" x14ac:dyDescent="0.25">
      <c r="A99" t="s">
        <v>239</v>
      </c>
      <c r="B99" t="s">
        <v>240</v>
      </c>
      <c r="C99" t="s">
        <v>72</v>
      </c>
      <c r="E99" t="str">
        <f>"080002579606"</f>
        <v>080002579606</v>
      </c>
      <c r="F99" s="2">
        <v>43970</v>
      </c>
      <c r="G99">
        <v>202011</v>
      </c>
      <c r="H99" t="s">
        <v>91</v>
      </c>
      <c r="I99" t="s">
        <v>92</v>
      </c>
      <c r="J99" t="s">
        <v>543</v>
      </c>
      <c r="K99" t="s">
        <v>75</v>
      </c>
      <c r="L99" t="s">
        <v>91</v>
      </c>
      <c r="M99" t="s">
        <v>92</v>
      </c>
      <c r="N99" t="s">
        <v>248</v>
      </c>
      <c r="O99" t="s">
        <v>78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1.05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G99">
        <v>0</v>
      </c>
      <c r="BH99">
        <v>1</v>
      </c>
      <c r="BI99">
        <v>4.5</v>
      </c>
      <c r="BJ99">
        <v>4.3</v>
      </c>
      <c r="BK99">
        <v>4.5</v>
      </c>
      <c r="BL99">
        <v>53.36</v>
      </c>
      <c r="BM99">
        <v>8</v>
      </c>
      <c r="BN99">
        <v>61.36</v>
      </c>
      <c r="BO99">
        <v>61.36</v>
      </c>
      <c r="BQ99" t="s">
        <v>544</v>
      </c>
      <c r="BR99" t="s">
        <v>545</v>
      </c>
      <c r="BS99" s="2">
        <v>43973</v>
      </c>
      <c r="BT99" s="3">
        <v>0.4770833333333333</v>
      </c>
      <c r="BU99" t="s">
        <v>332</v>
      </c>
      <c r="BV99" t="s">
        <v>81</v>
      </c>
      <c r="BW99" t="s">
        <v>130</v>
      </c>
      <c r="BX99" t="s">
        <v>120</v>
      </c>
      <c r="BY99">
        <v>21663</v>
      </c>
      <c r="CA99" t="s">
        <v>161</v>
      </c>
      <c r="CC99" t="s">
        <v>92</v>
      </c>
      <c r="CD99">
        <v>7824</v>
      </c>
      <c r="CE99" t="s">
        <v>196</v>
      </c>
      <c r="CF99" s="2">
        <v>43976</v>
      </c>
      <c r="CI99">
        <v>1</v>
      </c>
      <c r="CJ99">
        <v>1</v>
      </c>
      <c r="CK99">
        <v>22</v>
      </c>
      <c r="CL99" t="s">
        <v>81</v>
      </c>
    </row>
    <row r="100" spans="1:90" x14ac:dyDescent="0.25">
      <c r="A100" t="s">
        <v>239</v>
      </c>
      <c r="B100" t="s">
        <v>240</v>
      </c>
      <c r="C100" t="s">
        <v>72</v>
      </c>
      <c r="E100" t="str">
        <f>"009940073284"</f>
        <v>009940073284</v>
      </c>
      <c r="F100" s="2">
        <v>43972</v>
      </c>
      <c r="G100">
        <v>202011</v>
      </c>
      <c r="H100" t="s">
        <v>91</v>
      </c>
      <c r="I100" t="s">
        <v>92</v>
      </c>
      <c r="J100" t="s">
        <v>236</v>
      </c>
      <c r="K100" t="s">
        <v>75</v>
      </c>
      <c r="L100" t="s">
        <v>131</v>
      </c>
      <c r="M100" t="s">
        <v>132</v>
      </c>
      <c r="N100" t="s">
        <v>546</v>
      </c>
      <c r="O100" t="s">
        <v>103</v>
      </c>
      <c r="P100" t="str">
        <f>"NA                            "</f>
        <v xml:space="preserve">NA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1.71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G100">
        <v>0</v>
      </c>
      <c r="BH100">
        <v>1</v>
      </c>
      <c r="BI100">
        <v>6.5</v>
      </c>
      <c r="BJ100">
        <v>14.9</v>
      </c>
      <c r="BK100">
        <v>15</v>
      </c>
      <c r="BL100">
        <v>92.42</v>
      </c>
      <c r="BM100">
        <v>13.86</v>
      </c>
      <c r="BN100">
        <v>106.28</v>
      </c>
      <c r="BO100">
        <v>106.28</v>
      </c>
      <c r="BQ100" t="s">
        <v>547</v>
      </c>
      <c r="BR100" t="s">
        <v>250</v>
      </c>
      <c r="BS100" s="2">
        <v>43977</v>
      </c>
      <c r="BT100" s="3">
        <v>0.58680555555555558</v>
      </c>
      <c r="BU100" t="s">
        <v>225</v>
      </c>
      <c r="BV100" t="s">
        <v>81</v>
      </c>
      <c r="BY100">
        <v>74355.600000000006</v>
      </c>
      <c r="CA100" t="s">
        <v>109</v>
      </c>
      <c r="CC100" t="s">
        <v>132</v>
      </c>
      <c r="CD100">
        <v>1683</v>
      </c>
      <c r="CE100" t="s">
        <v>548</v>
      </c>
      <c r="CF100" s="2">
        <v>43978</v>
      </c>
      <c r="CI100">
        <v>2</v>
      </c>
      <c r="CJ100">
        <v>3</v>
      </c>
      <c r="CK100" t="s">
        <v>122</v>
      </c>
      <c r="CL100" t="s">
        <v>81</v>
      </c>
    </row>
    <row r="101" spans="1:90" x14ac:dyDescent="0.25">
      <c r="A101" t="s">
        <v>239</v>
      </c>
      <c r="B101" t="s">
        <v>240</v>
      </c>
      <c r="C101" t="s">
        <v>72</v>
      </c>
      <c r="E101" t="str">
        <f>"009940073285"</f>
        <v>009940073285</v>
      </c>
      <c r="F101" s="2">
        <v>43972</v>
      </c>
      <c r="G101">
        <v>202011</v>
      </c>
      <c r="H101" t="s">
        <v>91</v>
      </c>
      <c r="I101" t="s">
        <v>92</v>
      </c>
      <c r="J101" t="s">
        <v>236</v>
      </c>
      <c r="K101" t="s">
        <v>75</v>
      </c>
      <c r="L101" t="s">
        <v>97</v>
      </c>
      <c r="M101" t="s">
        <v>98</v>
      </c>
      <c r="N101" t="s">
        <v>478</v>
      </c>
      <c r="O101" t="s">
        <v>103</v>
      </c>
      <c r="P101" t="str">
        <f>"NA                            "</f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1.71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G101">
        <v>0</v>
      </c>
      <c r="BH101">
        <v>1</v>
      </c>
      <c r="BI101">
        <v>1.6</v>
      </c>
      <c r="BJ101">
        <v>2.9</v>
      </c>
      <c r="BK101">
        <v>3</v>
      </c>
      <c r="BL101">
        <v>92.42</v>
      </c>
      <c r="BM101">
        <v>13.86</v>
      </c>
      <c r="BN101">
        <v>106.28</v>
      </c>
      <c r="BO101">
        <v>106.28</v>
      </c>
      <c r="BQ101" t="s">
        <v>479</v>
      </c>
      <c r="BR101" t="s">
        <v>250</v>
      </c>
      <c r="BS101" s="2">
        <v>43976</v>
      </c>
      <c r="BT101" s="3">
        <v>0.50347222222222221</v>
      </c>
      <c r="BU101" t="s">
        <v>238</v>
      </c>
      <c r="BV101" t="s">
        <v>85</v>
      </c>
      <c r="BY101">
        <v>14484.25</v>
      </c>
      <c r="CA101" t="s">
        <v>99</v>
      </c>
      <c r="CC101" t="s">
        <v>98</v>
      </c>
      <c r="CD101">
        <v>4300</v>
      </c>
      <c r="CE101" t="s">
        <v>548</v>
      </c>
      <c r="CF101" s="2">
        <v>43977</v>
      </c>
      <c r="CI101">
        <v>2</v>
      </c>
      <c r="CJ101">
        <v>2</v>
      </c>
      <c r="CK101" t="s">
        <v>122</v>
      </c>
      <c r="CL101" t="s">
        <v>81</v>
      </c>
    </row>
    <row r="102" spans="1:90" x14ac:dyDescent="0.25">
      <c r="A102" t="s">
        <v>239</v>
      </c>
      <c r="B102" t="s">
        <v>240</v>
      </c>
      <c r="C102" t="s">
        <v>72</v>
      </c>
      <c r="E102" t="str">
        <f>"009940073319"</f>
        <v>009940073319</v>
      </c>
      <c r="F102" s="2">
        <v>43976</v>
      </c>
      <c r="G102">
        <v>202011</v>
      </c>
      <c r="H102" t="s">
        <v>91</v>
      </c>
      <c r="I102" t="s">
        <v>92</v>
      </c>
      <c r="J102" t="s">
        <v>236</v>
      </c>
      <c r="K102" t="s">
        <v>75</v>
      </c>
      <c r="L102" t="s">
        <v>176</v>
      </c>
      <c r="M102" t="s">
        <v>77</v>
      </c>
      <c r="N102" t="s">
        <v>549</v>
      </c>
      <c r="O102" t="s">
        <v>103</v>
      </c>
      <c r="P102" t="str">
        <f>"NA                            "</f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1.71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G102">
        <v>0</v>
      </c>
      <c r="BH102">
        <v>1</v>
      </c>
      <c r="BI102">
        <v>6.3</v>
      </c>
      <c r="BJ102">
        <v>8.6</v>
      </c>
      <c r="BK102">
        <v>9</v>
      </c>
      <c r="BL102">
        <v>92.42</v>
      </c>
      <c r="BM102">
        <v>13.86</v>
      </c>
      <c r="BN102">
        <v>106.28</v>
      </c>
      <c r="BO102">
        <v>106.28</v>
      </c>
      <c r="BQ102" t="s">
        <v>550</v>
      </c>
      <c r="BR102" t="s">
        <v>250</v>
      </c>
      <c r="BS102" s="2">
        <v>43978</v>
      </c>
      <c r="BT102" s="3">
        <v>0.44305555555555554</v>
      </c>
      <c r="BU102" t="s">
        <v>551</v>
      </c>
      <c r="BV102" t="s">
        <v>85</v>
      </c>
      <c r="BY102">
        <v>42822.6</v>
      </c>
      <c r="CA102" t="s">
        <v>203</v>
      </c>
      <c r="CC102" t="s">
        <v>77</v>
      </c>
      <c r="CD102">
        <v>83</v>
      </c>
      <c r="CE102" t="s">
        <v>152</v>
      </c>
      <c r="CF102" s="2">
        <v>43979</v>
      </c>
      <c r="CI102">
        <v>0</v>
      </c>
      <c r="CJ102">
        <v>0</v>
      </c>
      <c r="CK102" t="s">
        <v>122</v>
      </c>
      <c r="CL102" t="s">
        <v>81</v>
      </c>
    </row>
    <row r="103" spans="1:90" x14ac:dyDescent="0.25">
      <c r="A103" t="s">
        <v>239</v>
      </c>
      <c r="B103" t="s">
        <v>240</v>
      </c>
      <c r="C103" t="s">
        <v>72</v>
      </c>
      <c r="E103" t="str">
        <f>"009940073316"</f>
        <v>009940073316</v>
      </c>
      <c r="F103" s="2">
        <v>43973</v>
      </c>
      <c r="G103">
        <v>202011</v>
      </c>
      <c r="H103" t="s">
        <v>91</v>
      </c>
      <c r="I103" t="s">
        <v>92</v>
      </c>
      <c r="J103" t="s">
        <v>236</v>
      </c>
      <c r="K103" t="s">
        <v>75</v>
      </c>
      <c r="L103" t="s">
        <v>89</v>
      </c>
      <c r="M103" t="s">
        <v>90</v>
      </c>
      <c r="N103" t="s">
        <v>552</v>
      </c>
      <c r="O103" t="s">
        <v>103</v>
      </c>
      <c r="P103" t="str">
        <f>"NA                            "</f>
        <v xml:space="preserve">NA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1.84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G103">
        <v>0</v>
      </c>
      <c r="BH103">
        <v>1</v>
      </c>
      <c r="BI103">
        <v>15.7</v>
      </c>
      <c r="BJ103">
        <v>16.3</v>
      </c>
      <c r="BK103">
        <v>17</v>
      </c>
      <c r="BL103">
        <v>98.68</v>
      </c>
      <c r="BM103">
        <v>14.8</v>
      </c>
      <c r="BN103">
        <v>113.48</v>
      </c>
      <c r="BO103">
        <v>113.48</v>
      </c>
      <c r="BQ103" t="s">
        <v>553</v>
      </c>
      <c r="BR103" t="s">
        <v>250</v>
      </c>
      <c r="BS103" s="2">
        <v>43976</v>
      </c>
      <c r="BT103" s="3">
        <v>0.55555555555555558</v>
      </c>
      <c r="BU103" t="s">
        <v>554</v>
      </c>
      <c r="BV103" t="s">
        <v>85</v>
      </c>
      <c r="BY103">
        <v>81698.759999999995</v>
      </c>
      <c r="CA103" t="s">
        <v>157</v>
      </c>
      <c r="CC103" t="s">
        <v>90</v>
      </c>
      <c r="CD103">
        <v>5213</v>
      </c>
      <c r="CE103" t="s">
        <v>152</v>
      </c>
      <c r="CF103" s="2">
        <v>43978</v>
      </c>
      <c r="CI103">
        <v>2</v>
      </c>
      <c r="CJ103">
        <v>1</v>
      </c>
      <c r="CK103" t="s">
        <v>191</v>
      </c>
      <c r="CL103" t="s">
        <v>81</v>
      </c>
    </row>
    <row r="104" spans="1:90" x14ac:dyDescent="0.25">
      <c r="A104" t="s">
        <v>239</v>
      </c>
      <c r="B104" t="s">
        <v>240</v>
      </c>
      <c r="C104" t="s">
        <v>72</v>
      </c>
      <c r="E104" t="str">
        <f>"009940073315"</f>
        <v>009940073315</v>
      </c>
      <c r="F104" s="2">
        <v>43973</v>
      </c>
      <c r="G104">
        <v>202011</v>
      </c>
      <c r="H104" t="s">
        <v>91</v>
      </c>
      <c r="I104" t="s">
        <v>92</v>
      </c>
      <c r="J104" t="s">
        <v>236</v>
      </c>
      <c r="K104" t="s">
        <v>75</v>
      </c>
      <c r="L104" t="s">
        <v>91</v>
      </c>
      <c r="M104" t="s">
        <v>92</v>
      </c>
      <c r="N104" t="s">
        <v>190</v>
      </c>
      <c r="O104" t="s">
        <v>78</v>
      </c>
      <c r="P104" t="str">
        <f>"NA                            "</f>
        <v xml:space="preserve">NA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0.81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G104">
        <v>0</v>
      </c>
      <c r="BH104">
        <v>1</v>
      </c>
      <c r="BI104">
        <v>2.9</v>
      </c>
      <c r="BJ104">
        <v>2.5</v>
      </c>
      <c r="BK104">
        <v>3</v>
      </c>
      <c r="BL104">
        <v>41.36</v>
      </c>
      <c r="BM104">
        <v>6.2</v>
      </c>
      <c r="BN104">
        <v>47.56</v>
      </c>
      <c r="BO104">
        <v>47.56</v>
      </c>
      <c r="BQ104" t="s">
        <v>555</v>
      </c>
      <c r="BR104" t="s">
        <v>250</v>
      </c>
      <c r="BS104" s="2">
        <v>43978</v>
      </c>
      <c r="BT104" s="3">
        <v>0.71875</v>
      </c>
      <c r="BU104" t="s">
        <v>184</v>
      </c>
      <c r="BV104" t="s">
        <v>81</v>
      </c>
      <c r="BW104" t="s">
        <v>93</v>
      </c>
      <c r="BX104" t="s">
        <v>135</v>
      </c>
      <c r="BY104">
        <v>12524.52</v>
      </c>
      <c r="BZ104" t="s">
        <v>27</v>
      </c>
      <c r="CA104" t="s">
        <v>138</v>
      </c>
      <c r="CC104" t="s">
        <v>92</v>
      </c>
      <c r="CD104">
        <v>7550</v>
      </c>
      <c r="CE104" t="s">
        <v>231</v>
      </c>
      <c r="CF104" s="2">
        <v>43979</v>
      </c>
      <c r="CI104">
        <v>1</v>
      </c>
      <c r="CJ104">
        <v>3</v>
      </c>
      <c r="CK104">
        <v>22</v>
      </c>
      <c r="CL104" t="s">
        <v>81</v>
      </c>
    </row>
    <row r="105" spans="1:90" x14ac:dyDescent="0.25">
      <c r="A105" t="s">
        <v>239</v>
      </c>
      <c r="B105" t="s">
        <v>240</v>
      </c>
      <c r="C105" t="s">
        <v>72</v>
      </c>
      <c r="E105" t="str">
        <f>"009939975304"</f>
        <v>009939975304</v>
      </c>
      <c r="F105" s="2">
        <v>43973</v>
      </c>
      <c r="G105">
        <v>202011</v>
      </c>
      <c r="H105" t="s">
        <v>89</v>
      </c>
      <c r="I105" t="s">
        <v>90</v>
      </c>
      <c r="J105" t="s">
        <v>556</v>
      </c>
      <c r="K105" t="s">
        <v>75</v>
      </c>
      <c r="L105" t="s">
        <v>82</v>
      </c>
      <c r="M105" t="s">
        <v>83</v>
      </c>
      <c r="N105" t="s">
        <v>557</v>
      </c>
      <c r="O105" t="s">
        <v>78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0.84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G105">
        <v>0</v>
      </c>
      <c r="BH105">
        <v>1</v>
      </c>
      <c r="BI105">
        <v>1</v>
      </c>
      <c r="BJ105">
        <v>0.3</v>
      </c>
      <c r="BK105">
        <v>1</v>
      </c>
      <c r="BL105">
        <v>42.71</v>
      </c>
      <c r="BM105">
        <v>6.41</v>
      </c>
      <c r="BN105">
        <v>49.12</v>
      </c>
      <c r="BO105">
        <v>49.12</v>
      </c>
      <c r="BQ105" t="s">
        <v>558</v>
      </c>
      <c r="BR105" t="s">
        <v>559</v>
      </c>
      <c r="BS105" s="2">
        <v>43976</v>
      </c>
      <c r="BT105" s="3">
        <v>0.70763888888888893</v>
      </c>
      <c r="BU105" t="s">
        <v>560</v>
      </c>
      <c r="BV105" t="s">
        <v>81</v>
      </c>
      <c r="BW105" t="s">
        <v>93</v>
      </c>
      <c r="BX105" t="s">
        <v>144</v>
      </c>
      <c r="BY105">
        <v>1739</v>
      </c>
      <c r="BZ105" t="s">
        <v>27</v>
      </c>
      <c r="CA105" t="s">
        <v>561</v>
      </c>
      <c r="CC105" t="s">
        <v>83</v>
      </c>
      <c r="CD105">
        <v>6000</v>
      </c>
      <c r="CE105" t="s">
        <v>80</v>
      </c>
      <c r="CF105" s="2">
        <v>43978</v>
      </c>
      <c r="CI105">
        <v>1</v>
      </c>
      <c r="CJ105">
        <v>1</v>
      </c>
      <c r="CK105">
        <v>21</v>
      </c>
      <c r="CL105" t="s">
        <v>81</v>
      </c>
    </row>
    <row r="106" spans="1:90" x14ac:dyDescent="0.25">
      <c r="A106" t="s">
        <v>239</v>
      </c>
      <c r="B106" t="s">
        <v>240</v>
      </c>
      <c r="C106" t="s">
        <v>72</v>
      </c>
      <c r="E106" t="str">
        <f>"009938822272"</f>
        <v>009938822272</v>
      </c>
      <c r="F106" s="2">
        <v>43973</v>
      </c>
      <c r="G106">
        <v>202011</v>
      </c>
      <c r="H106" t="s">
        <v>73</v>
      </c>
      <c r="I106" t="s">
        <v>74</v>
      </c>
      <c r="J106" t="s">
        <v>364</v>
      </c>
      <c r="K106" t="s">
        <v>75</v>
      </c>
      <c r="L106" t="s">
        <v>229</v>
      </c>
      <c r="M106" t="s">
        <v>222</v>
      </c>
      <c r="N106" t="s">
        <v>259</v>
      </c>
      <c r="O106" t="s">
        <v>78</v>
      </c>
      <c r="P106" t="str">
        <f t="shared" ref="P106:P113" si="3">"NA                            "</f>
        <v xml:space="preserve">NA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1.26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G106">
        <v>0</v>
      </c>
      <c r="BH106">
        <v>1</v>
      </c>
      <c r="BI106">
        <v>1.8</v>
      </c>
      <c r="BJ106">
        <v>2.8</v>
      </c>
      <c r="BK106">
        <v>3</v>
      </c>
      <c r="BL106">
        <v>64.05</v>
      </c>
      <c r="BM106">
        <v>9.61</v>
      </c>
      <c r="BN106">
        <v>73.66</v>
      </c>
      <c r="BO106">
        <v>73.66</v>
      </c>
      <c r="BQ106" t="s">
        <v>370</v>
      </c>
      <c r="BR106" t="s">
        <v>562</v>
      </c>
      <c r="BS106" s="2">
        <v>43976</v>
      </c>
      <c r="BT106" s="3">
        <v>0.40763888888888888</v>
      </c>
      <c r="BU106" t="s">
        <v>563</v>
      </c>
      <c r="BV106" t="s">
        <v>85</v>
      </c>
      <c r="BY106">
        <v>14225.26</v>
      </c>
      <c r="BZ106" t="s">
        <v>27</v>
      </c>
      <c r="CA106" t="s">
        <v>147</v>
      </c>
      <c r="CC106" t="s">
        <v>222</v>
      </c>
      <c r="CD106">
        <v>1200</v>
      </c>
      <c r="CE106" t="s">
        <v>80</v>
      </c>
      <c r="CF106" s="2">
        <v>43978</v>
      </c>
      <c r="CI106">
        <v>1</v>
      </c>
      <c r="CJ106">
        <v>1</v>
      </c>
      <c r="CK106">
        <v>21</v>
      </c>
      <c r="CL106" t="s">
        <v>81</v>
      </c>
    </row>
    <row r="107" spans="1:90" x14ac:dyDescent="0.25">
      <c r="A107" t="s">
        <v>239</v>
      </c>
      <c r="B107" t="s">
        <v>240</v>
      </c>
      <c r="C107" t="s">
        <v>72</v>
      </c>
      <c r="E107" t="str">
        <f>"009935227676"</f>
        <v>009935227676</v>
      </c>
      <c r="F107" s="2">
        <v>43973</v>
      </c>
      <c r="G107">
        <v>202011</v>
      </c>
      <c r="H107" t="s">
        <v>73</v>
      </c>
      <c r="I107" t="s">
        <v>74</v>
      </c>
      <c r="J107" t="s">
        <v>364</v>
      </c>
      <c r="K107" t="s">
        <v>75</v>
      </c>
      <c r="L107" t="s">
        <v>91</v>
      </c>
      <c r="M107" t="s">
        <v>92</v>
      </c>
      <c r="N107" t="s">
        <v>269</v>
      </c>
      <c r="O107" t="s">
        <v>78</v>
      </c>
      <c r="P107" t="str">
        <f t="shared" si="3"/>
        <v xml:space="preserve">NA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0.84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42.71</v>
      </c>
      <c r="BM107">
        <v>6.41</v>
      </c>
      <c r="BN107">
        <v>49.12</v>
      </c>
      <c r="BO107">
        <v>49.12</v>
      </c>
      <c r="BQ107" t="s">
        <v>365</v>
      </c>
      <c r="BR107" t="s">
        <v>192</v>
      </c>
      <c r="BS107" s="2">
        <v>43976</v>
      </c>
      <c r="BT107" s="3">
        <v>0.4375</v>
      </c>
      <c r="BU107" t="s">
        <v>564</v>
      </c>
      <c r="BV107" t="s">
        <v>85</v>
      </c>
      <c r="BY107">
        <v>1200</v>
      </c>
      <c r="BZ107" t="s">
        <v>27</v>
      </c>
      <c r="CA107" t="s">
        <v>129</v>
      </c>
      <c r="CC107" t="s">
        <v>92</v>
      </c>
      <c r="CD107">
        <v>8000</v>
      </c>
      <c r="CE107" t="s">
        <v>80</v>
      </c>
      <c r="CF107" s="2">
        <v>43977</v>
      </c>
      <c r="CI107">
        <v>1</v>
      </c>
      <c r="CJ107">
        <v>1</v>
      </c>
      <c r="CK107">
        <v>21</v>
      </c>
      <c r="CL107" t="s">
        <v>81</v>
      </c>
    </row>
    <row r="108" spans="1:90" x14ac:dyDescent="0.25">
      <c r="A108" t="s">
        <v>239</v>
      </c>
      <c r="B108" t="s">
        <v>240</v>
      </c>
      <c r="C108" t="s">
        <v>72</v>
      </c>
      <c r="E108" t="str">
        <f>"009938822271"</f>
        <v>009938822271</v>
      </c>
      <c r="F108" s="2">
        <v>43973</v>
      </c>
      <c r="G108">
        <v>202011</v>
      </c>
      <c r="H108" t="s">
        <v>73</v>
      </c>
      <c r="I108" t="s">
        <v>74</v>
      </c>
      <c r="J108" t="s">
        <v>364</v>
      </c>
      <c r="K108" t="s">
        <v>75</v>
      </c>
      <c r="L108" t="s">
        <v>229</v>
      </c>
      <c r="M108" t="s">
        <v>222</v>
      </c>
      <c r="N108" t="s">
        <v>259</v>
      </c>
      <c r="O108" t="s">
        <v>78</v>
      </c>
      <c r="P108" t="str">
        <f t="shared" si="3"/>
        <v xml:space="preserve">NA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1.47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G108">
        <v>0</v>
      </c>
      <c r="BH108">
        <v>1</v>
      </c>
      <c r="BI108">
        <v>2</v>
      </c>
      <c r="BJ108">
        <v>3.2</v>
      </c>
      <c r="BK108">
        <v>3.5</v>
      </c>
      <c r="BL108">
        <v>74.72</v>
      </c>
      <c r="BM108">
        <v>11.21</v>
      </c>
      <c r="BN108">
        <v>85.93</v>
      </c>
      <c r="BO108">
        <v>85.93</v>
      </c>
      <c r="BQ108" t="s">
        <v>565</v>
      </c>
      <c r="BR108" t="s">
        <v>562</v>
      </c>
      <c r="BS108" s="2">
        <v>43976</v>
      </c>
      <c r="BT108" s="3">
        <v>0.40763888888888888</v>
      </c>
      <c r="BU108" t="s">
        <v>563</v>
      </c>
      <c r="BV108" t="s">
        <v>85</v>
      </c>
      <c r="BY108">
        <v>15816.18</v>
      </c>
      <c r="BZ108" t="s">
        <v>27</v>
      </c>
      <c r="CA108" t="s">
        <v>147</v>
      </c>
      <c r="CC108" t="s">
        <v>222</v>
      </c>
      <c r="CD108">
        <v>1200</v>
      </c>
      <c r="CE108" t="s">
        <v>80</v>
      </c>
      <c r="CF108" s="2">
        <v>43978</v>
      </c>
      <c r="CI108">
        <v>1</v>
      </c>
      <c r="CJ108">
        <v>1</v>
      </c>
      <c r="CK108">
        <v>21</v>
      </c>
      <c r="CL108" t="s">
        <v>81</v>
      </c>
    </row>
    <row r="109" spans="1:90" x14ac:dyDescent="0.25">
      <c r="A109" t="s">
        <v>239</v>
      </c>
      <c r="B109" t="s">
        <v>240</v>
      </c>
      <c r="C109" t="s">
        <v>72</v>
      </c>
      <c r="E109" t="str">
        <f>"009940073318"</f>
        <v>009940073318</v>
      </c>
      <c r="F109" s="2">
        <v>43973</v>
      </c>
      <c r="G109">
        <v>202011</v>
      </c>
      <c r="H109" t="s">
        <v>91</v>
      </c>
      <c r="I109" t="s">
        <v>92</v>
      </c>
      <c r="J109" t="s">
        <v>236</v>
      </c>
      <c r="K109" t="s">
        <v>75</v>
      </c>
      <c r="L109" t="s">
        <v>566</v>
      </c>
      <c r="M109" t="s">
        <v>567</v>
      </c>
      <c r="N109" t="s">
        <v>568</v>
      </c>
      <c r="O109" t="s">
        <v>103</v>
      </c>
      <c r="P109" t="str">
        <f t="shared" si="3"/>
        <v xml:space="preserve">NA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5.05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G109">
        <v>0</v>
      </c>
      <c r="BH109">
        <v>2</v>
      </c>
      <c r="BI109">
        <v>39.5</v>
      </c>
      <c r="BJ109">
        <v>36.799999999999997</v>
      </c>
      <c r="BK109">
        <v>40</v>
      </c>
      <c r="BL109">
        <v>262.61</v>
      </c>
      <c r="BM109">
        <v>39.39</v>
      </c>
      <c r="BN109">
        <v>302</v>
      </c>
      <c r="BO109">
        <v>302</v>
      </c>
      <c r="BQ109" t="s">
        <v>569</v>
      </c>
      <c r="BR109" t="s">
        <v>250</v>
      </c>
      <c r="BS109" s="2">
        <v>43977</v>
      </c>
      <c r="BT109" s="3">
        <v>0.47222222222222227</v>
      </c>
      <c r="BU109" t="s">
        <v>570</v>
      </c>
      <c r="BV109" t="s">
        <v>85</v>
      </c>
      <c r="BY109">
        <v>183832.12</v>
      </c>
      <c r="CA109" t="s">
        <v>230</v>
      </c>
      <c r="CC109" t="s">
        <v>567</v>
      </c>
      <c r="CD109">
        <v>2571</v>
      </c>
      <c r="CE109" t="s">
        <v>226</v>
      </c>
      <c r="CF109" s="2">
        <v>43980</v>
      </c>
      <c r="CI109">
        <v>3</v>
      </c>
      <c r="CJ109">
        <v>2</v>
      </c>
      <c r="CK109" t="s">
        <v>177</v>
      </c>
      <c r="CL109" t="s">
        <v>81</v>
      </c>
    </row>
    <row r="110" spans="1:90" x14ac:dyDescent="0.25">
      <c r="A110" t="s">
        <v>239</v>
      </c>
      <c r="B110" t="s">
        <v>240</v>
      </c>
      <c r="C110" t="s">
        <v>72</v>
      </c>
      <c r="E110" t="str">
        <f>"009940073287"</f>
        <v>009940073287</v>
      </c>
      <c r="F110" s="2">
        <v>43973</v>
      </c>
      <c r="G110">
        <v>202011</v>
      </c>
      <c r="H110" t="s">
        <v>91</v>
      </c>
      <c r="I110" t="s">
        <v>92</v>
      </c>
      <c r="J110" t="s">
        <v>236</v>
      </c>
      <c r="K110" t="s">
        <v>75</v>
      </c>
      <c r="L110" t="s">
        <v>101</v>
      </c>
      <c r="M110" t="s">
        <v>102</v>
      </c>
      <c r="N110" t="s">
        <v>571</v>
      </c>
      <c r="O110" t="s">
        <v>103</v>
      </c>
      <c r="P110" t="str">
        <f t="shared" si="3"/>
        <v xml:space="preserve">NA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2.0099999999999998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G110">
        <v>0</v>
      </c>
      <c r="BH110">
        <v>1</v>
      </c>
      <c r="BI110">
        <v>14</v>
      </c>
      <c r="BJ110">
        <v>18.100000000000001</v>
      </c>
      <c r="BK110">
        <v>19</v>
      </c>
      <c r="BL110">
        <v>107.4</v>
      </c>
      <c r="BM110">
        <v>16.11</v>
      </c>
      <c r="BN110">
        <v>123.51</v>
      </c>
      <c r="BO110">
        <v>123.51</v>
      </c>
      <c r="BQ110" t="s">
        <v>572</v>
      </c>
      <c r="BR110" t="s">
        <v>250</v>
      </c>
      <c r="BS110" s="2">
        <v>43977</v>
      </c>
      <c r="BT110" s="3">
        <v>0.4513888888888889</v>
      </c>
      <c r="BU110" t="s">
        <v>573</v>
      </c>
      <c r="BV110" t="s">
        <v>85</v>
      </c>
      <c r="BY110">
        <v>90748.800000000003</v>
      </c>
      <c r="CA110" t="s">
        <v>116</v>
      </c>
      <c r="CC110" t="s">
        <v>102</v>
      </c>
      <c r="CD110">
        <v>3610</v>
      </c>
      <c r="CE110" t="s">
        <v>80</v>
      </c>
      <c r="CF110" s="2">
        <v>43978</v>
      </c>
      <c r="CI110">
        <v>2</v>
      </c>
      <c r="CJ110">
        <v>2</v>
      </c>
      <c r="CK110" t="s">
        <v>122</v>
      </c>
      <c r="CL110" t="s">
        <v>81</v>
      </c>
    </row>
    <row r="111" spans="1:90" x14ac:dyDescent="0.25">
      <c r="A111" t="s">
        <v>239</v>
      </c>
      <c r="B111" t="s">
        <v>240</v>
      </c>
      <c r="C111" t="s">
        <v>72</v>
      </c>
      <c r="E111" t="str">
        <f>"009940073317"</f>
        <v>009940073317</v>
      </c>
      <c r="F111" s="2">
        <v>43976</v>
      </c>
      <c r="G111">
        <v>202011</v>
      </c>
      <c r="H111" t="s">
        <v>91</v>
      </c>
      <c r="I111" t="s">
        <v>92</v>
      </c>
      <c r="J111" t="s">
        <v>236</v>
      </c>
      <c r="K111" t="s">
        <v>75</v>
      </c>
      <c r="L111" t="s">
        <v>91</v>
      </c>
      <c r="M111" t="s">
        <v>92</v>
      </c>
      <c r="N111" t="s">
        <v>190</v>
      </c>
      <c r="O111" t="s">
        <v>78</v>
      </c>
      <c r="P111" t="str">
        <f t="shared" si="3"/>
        <v xml:space="preserve">NA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0.65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G111">
        <v>0</v>
      </c>
      <c r="BH111">
        <v>1</v>
      </c>
      <c r="BI111">
        <v>1.6</v>
      </c>
      <c r="BJ111">
        <v>1.6</v>
      </c>
      <c r="BK111">
        <v>2</v>
      </c>
      <c r="BL111">
        <v>33.36</v>
      </c>
      <c r="BM111">
        <v>5</v>
      </c>
      <c r="BN111">
        <v>38.36</v>
      </c>
      <c r="BO111">
        <v>38.36</v>
      </c>
      <c r="BQ111" t="s">
        <v>574</v>
      </c>
      <c r="BR111" t="s">
        <v>250</v>
      </c>
      <c r="BS111" s="2">
        <v>43977</v>
      </c>
      <c r="BT111" s="3">
        <v>0.3576388888888889</v>
      </c>
      <c r="BU111" t="s">
        <v>575</v>
      </c>
      <c r="BV111" t="s">
        <v>85</v>
      </c>
      <c r="BY111">
        <v>8022.63</v>
      </c>
      <c r="BZ111" t="s">
        <v>27</v>
      </c>
      <c r="CA111" t="s">
        <v>111</v>
      </c>
      <c r="CC111" t="s">
        <v>92</v>
      </c>
      <c r="CD111">
        <v>7460</v>
      </c>
      <c r="CE111" t="s">
        <v>231</v>
      </c>
      <c r="CF111" s="2">
        <v>43978</v>
      </c>
      <c r="CI111">
        <v>1</v>
      </c>
      <c r="CJ111">
        <v>1</v>
      </c>
      <c r="CK111">
        <v>22</v>
      </c>
      <c r="CL111" t="s">
        <v>81</v>
      </c>
    </row>
    <row r="112" spans="1:90" x14ac:dyDescent="0.25">
      <c r="A112" t="s">
        <v>239</v>
      </c>
      <c r="B112" t="s">
        <v>240</v>
      </c>
      <c r="C112" t="s">
        <v>72</v>
      </c>
      <c r="E112" t="str">
        <f>"009940073320"</f>
        <v>009940073320</v>
      </c>
      <c r="F112" s="2">
        <v>43976</v>
      </c>
      <c r="G112">
        <v>202011</v>
      </c>
      <c r="H112" t="s">
        <v>91</v>
      </c>
      <c r="I112" t="s">
        <v>92</v>
      </c>
      <c r="J112" t="s">
        <v>236</v>
      </c>
      <c r="K112" t="s">
        <v>75</v>
      </c>
      <c r="L112" t="s">
        <v>76</v>
      </c>
      <c r="M112" t="s">
        <v>77</v>
      </c>
      <c r="N112" t="s">
        <v>576</v>
      </c>
      <c r="O112" t="s">
        <v>78</v>
      </c>
      <c r="P112" t="str">
        <f t="shared" si="3"/>
        <v xml:space="preserve">NA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0.84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G112">
        <v>0</v>
      </c>
      <c r="BH112">
        <v>1</v>
      </c>
      <c r="BI112">
        <v>1.2</v>
      </c>
      <c r="BJ112">
        <v>1.4</v>
      </c>
      <c r="BK112">
        <v>1.5</v>
      </c>
      <c r="BL112">
        <v>42.71</v>
      </c>
      <c r="BM112">
        <v>6.41</v>
      </c>
      <c r="BN112">
        <v>49.12</v>
      </c>
      <c r="BO112">
        <v>49.12</v>
      </c>
      <c r="BQ112" t="s">
        <v>577</v>
      </c>
      <c r="BR112" t="s">
        <v>250</v>
      </c>
      <c r="BS112" s="2">
        <v>43977</v>
      </c>
      <c r="BT112" s="3">
        <v>0.52777777777777779</v>
      </c>
      <c r="BU112" t="s">
        <v>578</v>
      </c>
      <c r="BV112" t="s">
        <v>81</v>
      </c>
      <c r="BY112">
        <v>7197.12</v>
      </c>
      <c r="BZ112" t="s">
        <v>27</v>
      </c>
      <c r="CC112" t="s">
        <v>77</v>
      </c>
      <c r="CD112">
        <v>2</v>
      </c>
      <c r="CE112" t="s">
        <v>231</v>
      </c>
      <c r="CF112" s="2">
        <v>43978</v>
      </c>
      <c r="CI112">
        <v>1</v>
      </c>
      <c r="CJ112">
        <v>1</v>
      </c>
      <c r="CK112">
        <v>21</v>
      </c>
      <c r="CL112" t="s">
        <v>81</v>
      </c>
    </row>
    <row r="113" spans="1:90" x14ac:dyDescent="0.25">
      <c r="A113" t="s">
        <v>239</v>
      </c>
      <c r="B113" t="s">
        <v>240</v>
      </c>
      <c r="C113" t="s">
        <v>72</v>
      </c>
      <c r="E113" t="str">
        <f>"009938634371"</f>
        <v>009938634371</v>
      </c>
      <c r="F113" s="2">
        <v>43977</v>
      </c>
      <c r="G113">
        <v>202011</v>
      </c>
      <c r="H113" t="s">
        <v>76</v>
      </c>
      <c r="I113" t="s">
        <v>77</v>
      </c>
      <c r="J113" t="s">
        <v>259</v>
      </c>
      <c r="K113" t="s">
        <v>75</v>
      </c>
      <c r="L113" t="s">
        <v>193</v>
      </c>
      <c r="M113" t="s">
        <v>194</v>
      </c>
      <c r="N113" t="s">
        <v>451</v>
      </c>
      <c r="O113" t="s">
        <v>78</v>
      </c>
      <c r="P113" t="str">
        <f t="shared" si="3"/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0.84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G113">
        <v>0</v>
      </c>
      <c r="BH113">
        <v>1</v>
      </c>
      <c r="BI113">
        <v>2</v>
      </c>
      <c r="BJ113">
        <v>1.7</v>
      </c>
      <c r="BK113">
        <v>2</v>
      </c>
      <c r="BL113">
        <v>42.71</v>
      </c>
      <c r="BM113">
        <v>6.41</v>
      </c>
      <c r="BN113">
        <v>49.12</v>
      </c>
      <c r="BO113">
        <v>49.12</v>
      </c>
      <c r="BQ113" t="s">
        <v>142</v>
      </c>
      <c r="BR113" t="s">
        <v>453</v>
      </c>
      <c r="BS113" s="2">
        <v>43978</v>
      </c>
      <c r="BT113" s="3">
        <v>0.40972222222222227</v>
      </c>
      <c r="BU113" t="s">
        <v>579</v>
      </c>
      <c r="BV113" t="s">
        <v>85</v>
      </c>
      <c r="BY113">
        <v>8270.26</v>
      </c>
      <c r="BZ113" t="s">
        <v>27</v>
      </c>
      <c r="CA113" t="s">
        <v>220</v>
      </c>
      <c r="CC113" t="s">
        <v>194</v>
      </c>
      <c r="CD113">
        <v>700</v>
      </c>
      <c r="CE113" t="s">
        <v>80</v>
      </c>
      <c r="CF113" s="2">
        <v>43980</v>
      </c>
      <c r="CI113">
        <v>1</v>
      </c>
      <c r="CJ113">
        <v>1</v>
      </c>
      <c r="CK113">
        <v>21</v>
      </c>
      <c r="CL113" t="s">
        <v>81</v>
      </c>
    </row>
    <row r="114" spans="1:90" x14ac:dyDescent="0.25">
      <c r="A114" t="s">
        <v>239</v>
      </c>
      <c r="B114" t="s">
        <v>240</v>
      </c>
      <c r="C114" t="s">
        <v>72</v>
      </c>
      <c r="E114" t="str">
        <f>"009939976833"</f>
        <v>009939976833</v>
      </c>
      <c r="F114" s="2">
        <v>43976</v>
      </c>
      <c r="G114">
        <v>202011</v>
      </c>
      <c r="H114" t="s">
        <v>82</v>
      </c>
      <c r="I114" t="s">
        <v>83</v>
      </c>
      <c r="J114" t="s">
        <v>580</v>
      </c>
      <c r="K114" t="s">
        <v>75</v>
      </c>
      <c r="L114" t="s">
        <v>131</v>
      </c>
      <c r="M114" t="s">
        <v>132</v>
      </c>
      <c r="N114" t="s">
        <v>581</v>
      </c>
      <c r="O114" t="s">
        <v>103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2.37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G114">
        <v>0</v>
      </c>
      <c r="BH114">
        <v>1</v>
      </c>
      <c r="BI114">
        <v>17.8</v>
      </c>
      <c r="BJ114">
        <v>23.6</v>
      </c>
      <c r="BK114">
        <v>24</v>
      </c>
      <c r="BL114">
        <v>126.11</v>
      </c>
      <c r="BM114">
        <v>18.920000000000002</v>
      </c>
      <c r="BN114">
        <v>145.03</v>
      </c>
      <c r="BO114">
        <v>145.03</v>
      </c>
      <c r="BR114" t="s">
        <v>169</v>
      </c>
      <c r="BS114" s="2">
        <v>43978</v>
      </c>
      <c r="BT114" s="3">
        <v>0.34375</v>
      </c>
      <c r="BU114" t="s">
        <v>204</v>
      </c>
      <c r="BV114" t="s">
        <v>85</v>
      </c>
      <c r="BY114">
        <v>119836.81</v>
      </c>
      <c r="CC114" t="s">
        <v>132</v>
      </c>
      <c r="CD114">
        <v>1682</v>
      </c>
      <c r="CE114" t="s">
        <v>582</v>
      </c>
      <c r="CF114" s="2">
        <v>43979</v>
      </c>
      <c r="CI114">
        <v>2</v>
      </c>
      <c r="CJ114">
        <v>2</v>
      </c>
      <c r="CK114" t="s">
        <v>122</v>
      </c>
      <c r="CL114" t="s">
        <v>81</v>
      </c>
    </row>
    <row r="115" spans="1:90" x14ac:dyDescent="0.25">
      <c r="A115" t="s">
        <v>239</v>
      </c>
      <c r="B115" t="s">
        <v>240</v>
      </c>
      <c r="C115" t="s">
        <v>72</v>
      </c>
      <c r="E115" t="str">
        <f>"080002584467"</f>
        <v>080002584467</v>
      </c>
      <c r="F115" s="2">
        <v>43978</v>
      </c>
      <c r="G115">
        <v>202011</v>
      </c>
      <c r="H115" t="s">
        <v>131</v>
      </c>
      <c r="I115" t="s">
        <v>132</v>
      </c>
      <c r="J115" t="s">
        <v>254</v>
      </c>
      <c r="K115" t="s">
        <v>75</v>
      </c>
      <c r="L115" t="s">
        <v>82</v>
      </c>
      <c r="M115" t="s">
        <v>83</v>
      </c>
      <c r="N115" t="s">
        <v>255</v>
      </c>
      <c r="O115" t="s">
        <v>103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2.15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G115">
        <v>0</v>
      </c>
      <c r="BH115">
        <v>1</v>
      </c>
      <c r="BI115">
        <v>18.2</v>
      </c>
      <c r="BJ115">
        <v>20.8</v>
      </c>
      <c r="BK115">
        <v>21</v>
      </c>
      <c r="BL115">
        <v>114.88</v>
      </c>
      <c r="BM115">
        <v>17.23</v>
      </c>
      <c r="BN115">
        <v>132.11000000000001</v>
      </c>
      <c r="BO115">
        <v>132.11000000000001</v>
      </c>
      <c r="BQ115" t="s">
        <v>256</v>
      </c>
      <c r="BR115" t="s">
        <v>257</v>
      </c>
      <c r="BS115" t="s">
        <v>79</v>
      </c>
      <c r="BY115">
        <v>103966.63</v>
      </c>
      <c r="CC115" t="s">
        <v>83</v>
      </c>
      <c r="CD115">
        <v>6001</v>
      </c>
      <c r="CE115" t="s">
        <v>196</v>
      </c>
      <c r="CI115">
        <v>2</v>
      </c>
      <c r="CJ115" t="s">
        <v>79</v>
      </c>
      <c r="CK115" t="s">
        <v>122</v>
      </c>
      <c r="CL115" t="s">
        <v>81</v>
      </c>
    </row>
    <row r="116" spans="1:90" x14ac:dyDescent="0.25">
      <c r="A116" t="s">
        <v>239</v>
      </c>
      <c r="B116" t="s">
        <v>240</v>
      </c>
      <c r="C116" t="s">
        <v>72</v>
      </c>
      <c r="E116" t="str">
        <f>"009939638556"</f>
        <v>009939638556</v>
      </c>
      <c r="F116" s="2">
        <v>43976</v>
      </c>
      <c r="G116">
        <v>202011</v>
      </c>
      <c r="H116" t="s">
        <v>82</v>
      </c>
      <c r="I116" t="s">
        <v>83</v>
      </c>
      <c r="J116" t="s">
        <v>259</v>
      </c>
      <c r="K116" t="s">
        <v>75</v>
      </c>
      <c r="L116" t="s">
        <v>105</v>
      </c>
      <c r="M116" t="s">
        <v>106</v>
      </c>
      <c r="N116" t="s">
        <v>451</v>
      </c>
      <c r="O116" t="s">
        <v>78</v>
      </c>
      <c r="P116" t="str">
        <f>"11912270 FM                   "</f>
        <v xml:space="preserve">11912270 FM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0.84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G116">
        <v>0</v>
      </c>
      <c r="BH116">
        <v>1</v>
      </c>
      <c r="BI116">
        <v>2</v>
      </c>
      <c r="BJ116">
        <v>1.2</v>
      </c>
      <c r="BK116">
        <v>2</v>
      </c>
      <c r="BL116">
        <v>42.71</v>
      </c>
      <c r="BM116">
        <v>6.41</v>
      </c>
      <c r="BN116">
        <v>49.12</v>
      </c>
      <c r="BO116">
        <v>49.12</v>
      </c>
      <c r="BQ116" t="s">
        <v>583</v>
      </c>
      <c r="BR116" t="s">
        <v>262</v>
      </c>
      <c r="BS116" s="2">
        <v>43977</v>
      </c>
      <c r="BT116" s="3">
        <v>0.3743055555555555</v>
      </c>
      <c r="BU116" t="s">
        <v>232</v>
      </c>
      <c r="BV116" t="s">
        <v>85</v>
      </c>
      <c r="BY116">
        <v>6000</v>
      </c>
      <c r="BZ116" t="s">
        <v>27</v>
      </c>
      <c r="CC116" t="s">
        <v>106</v>
      </c>
      <c r="CD116">
        <v>2021</v>
      </c>
      <c r="CE116" t="s">
        <v>80</v>
      </c>
      <c r="CF116" s="2">
        <v>43978</v>
      </c>
      <c r="CI116">
        <v>1</v>
      </c>
      <c r="CJ116">
        <v>1</v>
      </c>
      <c r="CK116">
        <v>21</v>
      </c>
      <c r="CL116" t="s">
        <v>81</v>
      </c>
    </row>
    <row r="117" spans="1:90" x14ac:dyDescent="0.25">
      <c r="A117" t="s">
        <v>239</v>
      </c>
      <c r="B117" t="s">
        <v>240</v>
      </c>
      <c r="C117" t="s">
        <v>72</v>
      </c>
      <c r="E117" t="str">
        <f>"069908438913"</f>
        <v>069908438913</v>
      </c>
      <c r="F117" s="2">
        <v>43977</v>
      </c>
      <c r="G117">
        <v>202011</v>
      </c>
      <c r="H117" t="s">
        <v>131</v>
      </c>
      <c r="I117" t="s">
        <v>132</v>
      </c>
      <c r="J117" t="s">
        <v>584</v>
      </c>
      <c r="K117" t="s">
        <v>75</v>
      </c>
      <c r="L117" t="s">
        <v>91</v>
      </c>
      <c r="M117" t="s">
        <v>92</v>
      </c>
      <c r="N117" t="s">
        <v>585</v>
      </c>
      <c r="O117" t="s">
        <v>188</v>
      </c>
      <c r="P117" t="str">
        <f>"NA                            "</f>
        <v xml:space="preserve">NA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8.64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G117">
        <v>0</v>
      </c>
      <c r="BH117">
        <v>1</v>
      </c>
      <c r="BI117">
        <v>5.9</v>
      </c>
      <c r="BJ117">
        <v>21.9</v>
      </c>
      <c r="BK117">
        <v>22</v>
      </c>
      <c r="BL117">
        <v>440.48</v>
      </c>
      <c r="BM117">
        <v>66.069999999999993</v>
      </c>
      <c r="BN117">
        <v>506.55</v>
      </c>
      <c r="BO117">
        <v>506.55</v>
      </c>
      <c r="BQ117" t="s">
        <v>201</v>
      </c>
      <c r="BR117" t="s">
        <v>586</v>
      </c>
      <c r="BS117" s="2">
        <v>43978</v>
      </c>
      <c r="BT117" s="3">
        <v>0.42222222222222222</v>
      </c>
      <c r="BU117" t="s">
        <v>587</v>
      </c>
      <c r="BV117" t="s">
        <v>85</v>
      </c>
      <c r="BY117">
        <v>109616.22</v>
      </c>
      <c r="BZ117" t="s">
        <v>27</v>
      </c>
      <c r="CA117" t="s">
        <v>108</v>
      </c>
      <c r="CC117" t="s">
        <v>92</v>
      </c>
      <c r="CD117">
        <v>7800</v>
      </c>
      <c r="CE117" t="s">
        <v>80</v>
      </c>
      <c r="CF117" s="2">
        <v>43979</v>
      </c>
      <c r="CI117">
        <v>1</v>
      </c>
      <c r="CJ117">
        <v>1</v>
      </c>
      <c r="CK117">
        <v>31</v>
      </c>
      <c r="CL117" t="s">
        <v>81</v>
      </c>
    </row>
    <row r="118" spans="1:90" x14ac:dyDescent="0.25">
      <c r="A118" t="s">
        <v>239</v>
      </c>
      <c r="B118" t="s">
        <v>240</v>
      </c>
      <c r="C118" t="s">
        <v>72</v>
      </c>
      <c r="E118" t="str">
        <f>"009940131559"</f>
        <v>009940131559</v>
      </c>
      <c r="F118" s="2">
        <v>43978</v>
      </c>
      <c r="G118">
        <v>202011</v>
      </c>
      <c r="H118" t="s">
        <v>76</v>
      </c>
      <c r="I118" t="s">
        <v>77</v>
      </c>
      <c r="J118" t="s">
        <v>588</v>
      </c>
      <c r="K118" t="s">
        <v>75</v>
      </c>
      <c r="L118" t="s">
        <v>91</v>
      </c>
      <c r="M118" t="s">
        <v>92</v>
      </c>
      <c r="N118" t="s">
        <v>589</v>
      </c>
      <c r="O118" t="s">
        <v>199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437.5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9.59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488.96</v>
      </c>
      <c r="BM118">
        <v>73.34</v>
      </c>
      <c r="BN118">
        <v>562.29999999999995</v>
      </c>
      <c r="BO118">
        <v>562.29999999999995</v>
      </c>
      <c r="BP118" t="s">
        <v>590</v>
      </c>
      <c r="BR118" t="s">
        <v>591</v>
      </c>
      <c r="BS118" s="2">
        <v>43979</v>
      </c>
      <c r="BT118" s="3">
        <v>0.36041666666666666</v>
      </c>
      <c r="BU118" t="s">
        <v>592</v>
      </c>
      <c r="BV118" t="s">
        <v>81</v>
      </c>
      <c r="BY118">
        <v>1200</v>
      </c>
      <c r="BZ118" t="s">
        <v>593</v>
      </c>
      <c r="CC118" t="s">
        <v>92</v>
      </c>
      <c r="CD118">
        <v>8000</v>
      </c>
      <c r="CE118" t="s">
        <v>80</v>
      </c>
      <c r="CF118" s="2">
        <v>43980</v>
      </c>
      <c r="CI118">
        <v>0</v>
      </c>
      <c r="CJ118">
        <v>1</v>
      </c>
      <c r="CK118">
        <v>21</v>
      </c>
      <c r="CL118" t="s">
        <v>81</v>
      </c>
    </row>
    <row r="119" spans="1:90" x14ac:dyDescent="0.25">
      <c r="A119" t="s">
        <v>239</v>
      </c>
      <c r="B119" t="s">
        <v>240</v>
      </c>
      <c r="C119" t="s">
        <v>72</v>
      </c>
      <c r="E119" t="str">
        <f>"009940073321"</f>
        <v>009940073321</v>
      </c>
      <c r="F119" s="2">
        <v>43978</v>
      </c>
      <c r="G119">
        <v>202011</v>
      </c>
      <c r="H119" t="s">
        <v>91</v>
      </c>
      <c r="I119" t="s">
        <v>92</v>
      </c>
      <c r="J119" t="s">
        <v>236</v>
      </c>
      <c r="K119" t="s">
        <v>75</v>
      </c>
      <c r="L119" t="s">
        <v>76</v>
      </c>
      <c r="M119" t="s">
        <v>77</v>
      </c>
      <c r="N119" t="s">
        <v>594</v>
      </c>
      <c r="O119" t="s">
        <v>78</v>
      </c>
      <c r="P119" t="str">
        <f>"NA                            "</f>
        <v xml:space="preserve">NA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0.84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G119">
        <v>0</v>
      </c>
      <c r="BH119">
        <v>1</v>
      </c>
      <c r="BI119">
        <v>0.4</v>
      </c>
      <c r="BJ119">
        <v>0.6</v>
      </c>
      <c r="BK119">
        <v>1</v>
      </c>
      <c r="BL119">
        <v>42.71</v>
      </c>
      <c r="BM119">
        <v>6.41</v>
      </c>
      <c r="BN119">
        <v>49.12</v>
      </c>
      <c r="BO119">
        <v>49.12</v>
      </c>
      <c r="BQ119" t="s">
        <v>595</v>
      </c>
      <c r="BR119" t="s">
        <v>250</v>
      </c>
      <c r="BS119" s="2">
        <v>43980</v>
      </c>
      <c r="BT119" s="3">
        <v>0.37291666666666662</v>
      </c>
      <c r="BU119" t="s">
        <v>596</v>
      </c>
      <c r="BV119" t="s">
        <v>81</v>
      </c>
      <c r="BY119">
        <v>2921.05</v>
      </c>
      <c r="BZ119" t="s">
        <v>27</v>
      </c>
      <c r="CA119" t="s">
        <v>203</v>
      </c>
      <c r="CC119" t="s">
        <v>77</v>
      </c>
      <c r="CD119">
        <v>2</v>
      </c>
      <c r="CE119" t="s">
        <v>597</v>
      </c>
      <c r="CI119">
        <v>1</v>
      </c>
      <c r="CJ119">
        <v>2</v>
      </c>
      <c r="CK119">
        <v>21</v>
      </c>
      <c r="CL119" t="s">
        <v>81</v>
      </c>
    </row>
    <row r="120" spans="1:90" x14ac:dyDescent="0.25">
      <c r="A120" t="s">
        <v>239</v>
      </c>
      <c r="B120" t="s">
        <v>240</v>
      </c>
      <c r="C120" t="s">
        <v>72</v>
      </c>
      <c r="E120" t="str">
        <f>"029908452220"</f>
        <v>029908452220</v>
      </c>
      <c r="F120" s="2">
        <v>43978</v>
      </c>
      <c r="G120">
        <v>202011</v>
      </c>
      <c r="H120" t="s">
        <v>94</v>
      </c>
      <c r="I120" t="s">
        <v>95</v>
      </c>
      <c r="J120" t="s">
        <v>259</v>
      </c>
      <c r="K120" t="s">
        <v>75</v>
      </c>
      <c r="L120" t="s">
        <v>91</v>
      </c>
      <c r="M120" t="s">
        <v>92</v>
      </c>
      <c r="N120" t="s">
        <v>269</v>
      </c>
      <c r="O120" t="s">
        <v>78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4.5999999999999996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G120">
        <v>0</v>
      </c>
      <c r="BH120">
        <v>1</v>
      </c>
      <c r="BI120">
        <v>11</v>
      </c>
      <c r="BJ120">
        <v>0.9</v>
      </c>
      <c r="BK120">
        <v>11</v>
      </c>
      <c r="BL120">
        <v>234.75</v>
      </c>
      <c r="BM120">
        <v>35.21</v>
      </c>
      <c r="BN120">
        <v>269.95999999999998</v>
      </c>
      <c r="BO120">
        <v>269.95999999999998</v>
      </c>
      <c r="BQ120" t="s">
        <v>365</v>
      </c>
      <c r="BS120" s="2">
        <v>43980</v>
      </c>
      <c r="BT120" s="3">
        <v>0.39930555555555558</v>
      </c>
      <c r="BU120" t="s">
        <v>272</v>
      </c>
      <c r="BV120" t="s">
        <v>81</v>
      </c>
      <c r="BY120">
        <v>4329</v>
      </c>
      <c r="BZ120" t="s">
        <v>27</v>
      </c>
      <c r="CA120" t="s">
        <v>129</v>
      </c>
      <c r="CC120" t="s">
        <v>92</v>
      </c>
      <c r="CD120">
        <v>8000</v>
      </c>
      <c r="CE120" t="s">
        <v>80</v>
      </c>
      <c r="CI120">
        <v>1</v>
      </c>
      <c r="CJ120">
        <v>2</v>
      </c>
      <c r="CK120">
        <v>21</v>
      </c>
      <c r="CL120" t="s">
        <v>81</v>
      </c>
    </row>
    <row r="121" spans="1:90" x14ac:dyDescent="0.25">
      <c r="A121" t="s">
        <v>239</v>
      </c>
      <c r="B121" t="s">
        <v>240</v>
      </c>
      <c r="C121" t="s">
        <v>72</v>
      </c>
      <c r="E121" t="str">
        <f>"009940170341"</f>
        <v>009940170341</v>
      </c>
      <c r="F121" s="2">
        <v>43979</v>
      </c>
      <c r="G121">
        <v>202011</v>
      </c>
      <c r="H121" t="s">
        <v>105</v>
      </c>
      <c r="I121" t="s">
        <v>106</v>
      </c>
      <c r="J121" t="s">
        <v>451</v>
      </c>
      <c r="K121" t="s">
        <v>75</v>
      </c>
      <c r="L121" t="s">
        <v>598</v>
      </c>
      <c r="M121" t="s">
        <v>599</v>
      </c>
      <c r="N121" t="s">
        <v>600</v>
      </c>
      <c r="O121" t="s">
        <v>78</v>
      </c>
      <c r="P121" t="str">
        <f>"NA                            "</f>
        <v xml:space="preserve">NA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2.36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G121">
        <v>0</v>
      </c>
      <c r="BH121">
        <v>1</v>
      </c>
      <c r="BI121">
        <v>3</v>
      </c>
      <c r="BJ121">
        <v>0.8</v>
      </c>
      <c r="BK121">
        <v>3</v>
      </c>
      <c r="BL121">
        <v>120.12</v>
      </c>
      <c r="BM121">
        <v>18.02</v>
      </c>
      <c r="BN121">
        <v>138.13999999999999</v>
      </c>
      <c r="BO121">
        <v>138.13999999999999</v>
      </c>
      <c r="BQ121" t="s">
        <v>162</v>
      </c>
      <c r="BR121" t="s">
        <v>171</v>
      </c>
      <c r="BS121" t="s">
        <v>79</v>
      </c>
      <c r="BY121">
        <v>4000</v>
      </c>
      <c r="BZ121" t="s">
        <v>27</v>
      </c>
      <c r="CC121" t="s">
        <v>599</v>
      </c>
      <c r="CD121">
        <v>555</v>
      </c>
      <c r="CE121" t="s">
        <v>80</v>
      </c>
      <c r="CI121">
        <v>1</v>
      </c>
      <c r="CJ121" t="s">
        <v>79</v>
      </c>
      <c r="CK121">
        <v>23</v>
      </c>
      <c r="CL121" t="s">
        <v>81</v>
      </c>
    </row>
    <row r="122" spans="1:90" x14ac:dyDescent="0.25">
      <c r="A122" t="s">
        <v>239</v>
      </c>
      <c r="B122" t="s">
        <v>240</v>
      </c>
      <c r="C122" t="s">
        <v>72</v>
      </c>
      <c r="E122" t="str">
        <f>"009940073322"</f>
        <v>009940073322</v>
      </c>
      <c r="F122" s="2">
        <v>43979</v>
      </c>
      <c r="G122">
        <v>202011</v>
      </c>
      <c r="H122" t="s">
        <v>91</v>
      </c>
      <c r="I122" t="s">
        <v>92</v>
      </c>
      <c r="J122" t="s">
        <v>236</v>
      </c>
      <c r="K122" t="s">
        <v>75</v>
      </c>
      <c r="L122" t="s">
        <v>193</v>
      </c>
      <c r="M122" t="s">
        <v>194</v>
      </c>
      <c r="N122" t="s">
        <v>601</v>
      </c>
      <c r="O122" t="s">
        <v>78</v>
      </c>
      <c r="P122" t="str">
        <f>"NA                            "</f>
        <v xml:space="preserve">NA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1.26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G122">
        <v>0</v>
      </c>
      <c r="BH122">
        <v>1</v>
      </c>
      <c r="BI122">
        <v>2.6</v>
      </c>
      <c r="BJ122">
        <v>2.9</v>
      </c>
      <c r="BK122">
        <v>3</v>
      </c>
      <c r="BL122">
        <v>64.05</v>
      </c>
      <c r="BM122">
        <v>9.61</v>
      </c>
      <c r="BN122">
        <v>73.66</v>
      </c>
      <c r="BO122">
        <v>73.66</v>
      </c>
      <c r="BQ122" t="s">
        <v>602</v>
      </c>
      <c r="BR122" t="s">
        <v>250</v>
      </c>
      <c r="BS122" t="s">
        <v>79</v>
      </c>
      <c r="BY122">
        <v>14588.16</v>
      </c>
      <c r="BZ122" t="s">
        <v>27</v>
      </c>
      <c r="CC122" t="s">
        <v>194</v>
      </c>
      <c r="CD122">
        <v>699</v>
      </c>
      <c r="CE122" t="s">
        <v>231</v>
      </c>
      <c r="CI122">
        <v>1</v>
      </c>
      <c r="CJ122" t="s">
        <v>79</v>
      </c>
      <c r="CK122">
        <v>21</v>
      </c>
      <c r="CL122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2020-05-31T10:56:56Z</dcterms:created>
  <dcterms:modified xsi:type="dcterms:W3CDTF">2020-05-31T10:59:16Z</dcterms:modified>
</cp:coreProperties>
</file>