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C0D66CEF-4CC3-48DE-986C-2B08DFE44833}" xr6:coauthVersionLast="47" xr6:coauthVersionMax="47" xr10:uidLastSave="{00000000-0000-0000-0000-000000000000}"/>
  <bookViews>
    <workbookView xWindow="28680" yWindow="-120" windowWidth="20730" windowHeight="11040" xr2:uid="{77527B30-D474-400F-B40A-67C6B72A8F57}"/>
  </bookViews>
  <sheets>
    <sheet name="sdrascd7-IENOMKE147177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543" i="1" l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<sst xmlns="http://schemas.openxmlformats.org/spreadsheetml/2006/main" count="68241" uniqueCount="3646">
  <si>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</si>
  <si>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</si>
  <si>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</si>
  <si>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</si>
  <si>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</si>
  <si>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</si>
  <si>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</si>
  <si>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</si>
  <si>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</si>
  <si>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</si>
  <si>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</si>
  <si>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</si>
  <si>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</si>
  <si>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</si>
  <si>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</si>
  <si>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</si>
  <si>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</si>
  <si>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</si>
  <si>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</si>
  <si>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</si>
  <si>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</si>
  <si>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</si>
  <si>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</si>
  <si>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</si>
  <si>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</si>
  <si>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</si>
  <si>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</si>
  <si>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</si>
  <si>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</si>
  <si>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</si>
  <si>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</si>
  <si>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</si>
  <si>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</si>
  <si>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</si>
  <si>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</si>
  <si>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</si>
  <si>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</si>
  <si>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</si>
  <si>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</si>
  <si>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</si>
  <si>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</si>
  <si>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</si>
  <si>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</si>
  <si>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</si>
  <si>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</si>
  <si>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</si>
  <si>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</si>
  <si>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</si>
  <si>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</si>
  <si>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</si>
  <si>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</si>
  <si>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</si>
  <si>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</si>
  <si>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</si>
  <si>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</si>
  <si>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</si>
  <si>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</si>
  <si>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</si>
  <si>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</si>
  <si>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</si>
  <si>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</si>
  <si>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</si>
  <si>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</si>
  <si>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</si>
  <si>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</si>
  <si>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</si>
  <si>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</si>
  <si>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</si>
  <si>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</si>
  <si>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</si>
  <si>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</si>
  <si>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</si>
  <si>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</si>
  <si>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</si>
  <si>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</si>
  <si>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RANDB</t>
  </si>
  <si>
    <t>RANDBURG</t>
  </si>
  <si>
    <t xml:space="preserve">TM Eng                             </t>
  </si>
  <si>
    <t xml:space="preserve">                                   </t>
  </si>
  <si>
    <t>KEMPT</t>
  </si>
  <si>
    <t>KEMPTON PARK</t>
  </si>
  <si>
    <t xml:space="preserve">FESTO                              </t>
  </si>
  <si>
    <t>ON1</t>
  </si>
  <si>
    <t>GIFT</t>
  </si>
  <si>
    <t>Sharleen</t>
  </si>
  <si>
    <t>Robby</t>
  </si>
  <si>
    <t>yes</t>
  </si>
  <si>
    <t>FUE / DOC</t>
  </si>
  <si>
    <t>POD received from cell 0823636526 M</t>
  </si>
  <si>
    <t>PARCEL</t>
  </si>
  <si>
    <t>no</t>
  </si>
  <si>
    <t xml:space="preserve">FESTO (Move Analytics)             </t>
  </si>
  <si>
    <t>PIET1</t>
  </si>
  <si>
    <t>PIETERMARITZBURG</t>
  </si>
  <si>
    <t xml:space="preserve">ANDERSON ENGINEERING FOOD AND      </t>
  </si>
  <si>
    <t>DBC</t>
  </si>
  <si>
    <t>ANDERSON ENGINEERING FOOD AND</t>
  </si>
  <si>
    <t>Gift Masinga</t>
  </si>
  <si>
    <t>luis</t>
  </si>
  <si>
    <t>FUE / doc</t>
  </si>
  <si>
    <t>POD received from cell 0685390657 M</t>
  </si>
  <si>
    <t>BOX</t>
  </si>
  <si>
    <t>ALBE2</t>
  </si>
  <si>
    <t>ALBERTON</t>
  </si>
  <si>
    <t xml:space="preserve">HYDRASERVE HYDRAULICS (PTY) LT     </t>
  </si>
  <si>
    <t>HYDRASERVE HYDRAULICS  PTY  LT</t>
  </si>
  <si>
    <t>lunga</t>
  </si>
  <si>
    <t xml:space="preserve">PARCEL                        </t>
  </si>
  <si>
    <t>PORT3</t>
  </si>
  <si>
    <t>PORT ELIZABETH</t>
  </si>
  <si>
    <t xml:space="preserve">COMPTECH ELECTRONICS KEQ CC        </t>
  </si>
  <si>
    <t>COMPTECH ELECTRONICS KEQ CC</t>
  </si>
  <si>
    <t>Jestine</t>
  </si>
  <si>
    <t>POD received from cell 0814739791 M</t>
  </si>
  <si>
    <t>EAST</t>
  </si>
  <si>
    <t>EAST LONDON</t>
  </si>
  <si>
    <t xml:space="preserve">LINDE AND WIEMANN (PTY) LTD        </t>
  </si>
  <si>
    <t>LINDE AND WIEMANN  PTY  LTD</t>
  </si>
  <si>
    <t>sikho</t>
  </si>
  <si>
    <t>POD received from cell 0788915943 M</t>
  </si>
  <si>
    <t>FLYER</t>
  </si>
  <si>
    <t>DURBA</t>
  </si>
  <si>
    <t>DURBAN</t>
  </si>
  <si>
    <t xml:space="preserve">COMPRESSED AIR EQUIPMENT DURBA     </t>
  </si>
  <si>
    <t>COMPRESSED AIR EQUIPMENT DURBA</t>
  </si>
  <si>
    <t>Deez</t>
  </si>
  <si>
    <t>POD received from cell 0658550146 M</t>
  </si>
  <si>
    <t>STILF</t>
  </si>
  <si>
    <t>STILFONTEIN</t>
  </si>
  <si>
    <t xml:space="preserve">PRIME INSTRUMENTATION CC           </t>
  </si>
  <si>
    <t>PRIME INSTRUMENTATION CC</t>
  </si>
  <si>
    <t>Tshepo</t>
  </si>
  <si>
    <t>POD received from cell 0764112218 M</t>
  </si>
  <si>
    <t xml:space="preserve">SMITHS MANUFACTURING               </t>
  </si>
  <si>
    <t>SMITHS MANUFACTURING</t>
  </si>
  <si>
    <t>yageshnee</t>
  </si>
  <si>
    <t>Late Linehaul Delayed Beyond Skynet Control</t>
  </si>
  <si>
    <t>col</t>
  </si>
  <si>
    <t>POD received from cell 0748568150 M</t>
  </si>
  <si>
    <t xml:space="preserve">GENERAL MOTORS SOUTH AFRICA        </t>
  </si>
  <si>
    <t>GENERAL MOTORS SOUTH AFRICA</t>
  </si>
  <si>
    <t>A Klopper</t>
  </si>
  <si>
    <t>POD received from cell 0711146140 M</t>
  </si>
  <si>
    <t xml:space="preserve">ALBANY BAKERS A DIV OF TIGER C     </t>
  </si>
  <si>
    <t>ALBANY BAKERS A DIV OF TIGER C</t>
  </si>
  <si>
    <t xml:space="preserve">mzomuhle                      </t>
  </si>
  <si>
    <t xml:space="preserve">                                        </t>
  </si>
  <si>
    <t xml:space="preserve">FLYER                         </t>
  </si>
  <si>
    <t>JOHAN</t>
  </si>
  <si>
    <t>JOHANNESBURG</t>
  </si>
  <si>
    <t xml:space="preserve">ADCOCK INGRAM CRITICAL CARE PT     </t>
  </si>
  <si>
    <t>ADCOCK INGRAM CRITICAL CARE PT</t>
  </si>
  <si>
    <t>s mhlango</t>
  </si>
  <si>
    <t>POD received from cell 0844841890 M</t>
  </si>
  <si>
    <t xml:space="preserve">AMSN INDUSTRIAL SUPPLIES (PTY)     </t>
  </si>
  <si>
    <t>AMSN INDUSTRIAL SUPPLIES  PTY</t>
  </si>
  <si>
    <t>lolita</t>
  </si>
  <si>
    <t>POD received from cell 0670029554 M</t>
  </si>
  <si>
    <t>lolta</t>
  </si>
  <si>
    <t xml:space="preserve">BMG PINETOWN                       </t>
  </si>
  <si>
    <t>BMG PINETOWN</t>
  </si>
  <si>
    <t>joshua</t>
  </si>
  <si>
    <t>1FLYER</t>
  </si>
  <si>
    <t xml:space="preserve">BMG ISANDO 0165                    </t>
  </si>
  <si>
    <t>BMG ISANDO</t>
  </si>
  <si>
    <t>Emmanuel</t>
  </si>
  <si>
    <t>POD received from cell 0837323487 M</t>
  </si>
  <si>
    <t>PARCELS</t>
  </si>
  <si>
    <t>PRETO</t>
  </si>
  <si>
    <t>PRETORIA</t>
  </si>
  <si>
    <t xml:space="preserve">CSM BEARING   PNEUMATIC SUP (P     </t>
  </si>
  <si>
    <t>CSM BEARING   PNEUMATIC SUP  P</t>
  </si>
  <si>
    <t>ALICIA</t>
  </si>
  <si>
    <t>0002</t>
  </si>
  <si>
    <t>BRAKP</t>
  </si>
  <si>
    <t>BRAKPAN</t>
  </si>
  <si>
    <t xml:space="preserve">ERGO MINING PTY LTD                </t>
  </si>
  <si>
    <t>ERGO MINING PTY LTD</t>
  </si>
  <si>
    <t>Thabo</t>
  </si>
  <si>
    <t>POD received from cell 0714051959 M</t>
  </si>
  <si>
    <t>BRONK</t>
  </si>
  <si>
    <t>BRONKHORSTSPRUIT</t>
  </si>
  <si>
    <t xml:space="preserve">SASOL DYNO NOBEL (PTY) LTD         </t>
  </si>
  <si>
    <t>SASOL DYNO NOBEL  PTY  LTD</t>
  </si>
  <si>
    <t>MARINA</t>
  </si>
  <si>
    <t xml:space="preserve">LION MATCH PRODUCTS (PTY) LTD      </t>
  </si>
  <si>
    <t>LION MATCH PRODUCTS  PTY  LTD</t>
  </si>
  <si>
    <t>JEANY</t>
  </si>
  <si>
    <t>Consignee not available)</t>
  </si>
  <si>
    <t>ppm</t>
  </si>
  <si>
    <t>0200</t>
  </si>
  <si>
    <t xml:space="preserve">BOX                           </t>
  </si>
  <si>
    <t xml:space="preserve">PRESSURE DIE CASTINGS (PTY) LT     </t>
  </si>
  <si>
    <t>PRESSURE DIE CASTINGS  PTY  LT</t>
  </si>
  <si>
    <t>mbuso</t>
  </si>
  <si>
    <t>VANDE</t>
  </si>
  <si>
    <t>VANDERBIJLPARK</t>
  </si>
  <si>
    <t xml:space="preserve">DIVFOOD A DIV OF NAMPAK PRODUC     </t>
  </si>
  <si>
    <t>DIVFOOD A DIV OF NAMPAK PRODUC</t>
  </si>
  <si>
    <t>Sibusiso</t>
  </si>
  <si>
    <t>POD received from cell 0729061309 M</t>
  </si>
  <si>
    <t>noma</t>
  </si>
  <si>
    <t>POD received from cell 0670405005 M</t>
  </si>
  <si>
    <t xml:space="preserve">BOWLER PLASTICS PTY LTD            </t>
  </si>
  <si>
    <t>BOWLER PLASTICS PTY LTD</t>
  </si>
  <si>
    <t>Sindy</t>
  </si>
  <si>
    <t>CAPET</t>
  </si>
  <si>
    <t>CAPE TOWN</t>
  </si>
  <si>
    <t xml:space="preserve">CIM AUTOMATION PTY LTD MONTAGU     </t>
  </si>
  <si>
    <t>CIM AUTOMATION PTY LTD MONTAGU</t>
  </si>
  <si>
    <t>emily</t>
  </si>
  <si>
    <t>POD received from cell 0738058187 M</t>
  </si>
  <si>
    <t xml:space="preserve">TRUDA FOODS WILLEM CRUYWAGEN L     </t>
  </si>
  <si>
    <t>TRUDA FOODS WILLEM CRUYWAGEN L</t>
  </si>
  <si>
    <t xml:space="preserve">kelebogile                    </t>
  </si>
  <si>
    <t>pim</t>
  </si>
  <si>
    <t xml:space="preserve">POD received from cell 0847107349 M     </t>
  </si>
  <si>
    <t>0182</t>
  </si>
  <si>
    <t>SPRI3</t>
  </si>
  <si>
    <t>SPRINGS</t>
  </si>
  <si>
    <t xml:space="preserve">KIMBERLY-CLARK VENDOR NUMBER:      </t>
  </si>
  <si>
    <t>KIMBERLY-CLARK VENDOR NUMBER</t>
  </si>
  <si>
    <t>mbali</t>
  </si>
  <si>
    <t>BOKSB</t>
  </si>
  <si>
    <t>BOKSBURG</t>
  </si>
  <si>
    <t xml:space="preserve">RAPID INDUSTRIAL SUPPLIES          </t>
  </si>
  <si>
    <t>ON2</t>
  </si>
  <si>
    <t>RAPID INDUSTRIAL SUPPLIES</t>
  </si>
  <si>
    <t>tshepo</t>
  </si>
  <si>
    <t xml:space="preserve">JENDAMARK AUTOMATION PTY LTD P     </t>
  </si>
  <si>
    <t>JENDAMARK AUTOMATION PTY LTD P</t>
  </si>
  <si>
    <t xml:space="preserve">shaakir                       </t>
  </si>
  <si>
    <t xml:space="preserve">POD received from cell 0608702785 M     </t>
  </si>
  <si>
    <t>VERWO</t>
  </si>
  <si>
    <t>CENTURION</t>
  </si>
  <si>
    <t xml:space="preserve">MAVTECH TECHNOLOGIES (PTY) LTD     </t>
  </si>
  <si>
    <t>MAVTECH TECHNOLOGIES  PTY  LTD</t>
  </si>
  <si>
    <t xml:space="preserve">SUWELLEN                      </t>
  </si>
  <si>
    <t>0157</t>
  </si>
  <si>
    <t>BRIT1</t>
  </si>
  <si>
    <t>BRITS</t>
  </si>
  <si>
    <t xml:space="preserve">NECSA                              </t>
  </si>
  <si>
    <t>NECSA   ATTN  RECEIVING DEPOT</t>
  </si>
  <si>
    <t>Cyriel</t>
  </si>
  <si>
    <t>POD received from cell 0686965808 M</t>
  </si>
  <si>
    <t>0250</t>
  </si>
  <si>
    <t>HAMMA</t>
  </si>
  <si>
    <t>HAMMANSKRAAL</t>
  </si>
  <si>
    <t xml:space="preserve">SHATTERPRUFE TRADING DIVISION      </t>
  </si>
  <si>
    <t>SHATTERPRUFE TRADING DIVISION</t>
  </si>
  <si>
    <t>KEA</t>
  </si>
  <si>
    <t>HND / FUE / DOC</t>
  </si>
  <si>
    <t>0221</t>
  </si>
  <si>
    <t xml:space="preserve">NISSAN SUID-AFRIKA (EDMS)BPK       </t>
  </si>
  <si>
    <t>NISSAN SUID-AFRIKA  EDMS BPK</t>
  </si>
  <si>
    <t xml:space="preserve">VIRGINIA                      </t>
  </si>
  <si>
    <t xml:space="preserve">FORD MOTOR CO. SA MANUFACTURIN     </t>
  </si>
  <si>
    <t>FORD MOTOR CO. SA MANUFACTURIN</t>
  </si>
  <si>
    <t>kurt</t>
  </si>
  <si>
    <t>PIET</t>
  </si>
  <si>
    <t>PIET RETIEF</t>
  </si>
  <si>
    <t xml:space="preserve">HCH ELECTRIC CC                    </t>
  </si>
  <si>
    <t>HCH ELECTRIC CC</t>
  </si>
  <si>
    <t>RUAN</t>
  </si>
  <si>
    <t>POD received from cell 0832048163 M</t>
  </si>
  <si>
    <t>UITEN</t>
  </si>
  <si>
    <t>UITENHAGE</t>
  </si>
  <si>
    <t xml:space="preserve">ANALOG   DIGITAL POWER ELECTRO     </t>
  </si>
  <si>
    <t>ANALOG   DIGITAL POWER ELECTRO</t>
  </si>
  <si>
    <t xml:space="preserve">shane                         </t>
  </si>
  <si>
    <t xml:space="preserve">POD received from cell 0793062989 M     </t>
  </si>
  <si>
    <t>GERMI</t>
  </si>
  <si>
    <t>GERMISTON</t>
  </si>
  <si>
    <t xml:space="preserve">ARDAGH GLASS PACKAGING  SA PTY     </t>
  </si>
  <si>
    <t>ARDAGH GLASS PACKAGING  SA PTY</t>
  </si>
  <si>
    <t>motlato</t>
  </si>
  <si>
    <t>POD received from cell 0604467550 M</t>
  </si>
  <si>
    <t xml:space="preserve">ABF SUGAR (PTY) LTD- NCHALO ME     </t>
  </si>
  <si>
    <t>ABF SUGAR  PTY  LTD- NCHALO ME</t>
  </si>
  <si>
    <t>jephery</t>
  </si>
  <si>
    <t>POD received from cell 0794077267 M</t>
  </si>
  <si>
    <t>VEREE</t>
  </si>
  <si>
    <t>VEREENIGING</t>
  </si>
  <si>
    <t xml:space="preserve">CMSA WAREHOUSE RANDVAAL KLIPRI     </t>
  </si>
  <si>
    <t>CMSA WAREHOUSE RANDVAAL KLIPRI</t>
  </si>
  <si>
    <t xml:space="preserve">norman                        </t>
  </si>
  <si>
    <t xml:space="preserve">POD received from cell 0791970159 M     </t>
  </si>
  <si>
    <t xml:space="preserve">SCHAEFFLER SOUTH AFRICA (PTY)      </t>
  </si>
  <si>
    <t>SCHAEFFLER SOUTH AFRICA  PTY</t>
  </si>
  <si>
    <t xml:space="preserve">ayanda                        </t>
  </si>
  <si>
    <t xml:space="preserve">POD received from cell 0616223862 M     </t>
  </si>
  <si>
    <t xml:space="preserve">S4 INTEGRATION PTY LTD             </t>
  </si>
  <si>
    <t>S4 INTEGRATION PTY LTD</t>
  </si>
  <si>
    <t>ayanda</t>
  </si>
  <si>
    <t>POD received from cell 0684745132 M</t>
  </si>
  <si>
    <t>sinenhlanhla</t>
  </si>
  <si>
    <t>PALLET</t>
  </si>
  <si>
    <t xml:space="preserve">BMW SOUTH AFRICA                   </t>
  </si>
  <si>
    <t>BMW</t>
  </si>
  <si>
    <t xml:space="preserve">caiphus                       </t>
  </si>
  <si>
    <t>KRUGE</t>
  </si>
  <si>
    <t>KRUGERSDORP</t>
  </si>
  <si>
    <t xml:space="preserve">SCHULLPAK GAUTENG (PTY) LTD        </t>
  </si>
  <si>
    <t>SCHULLPAK GAUTENG  PTY  LTD</t>
  </si>
  <si>
    <t>Evan</t>
  </si>
  <si>
    <t>POD received from cell 0644108519 M</t>
  </si>
  <si>
    <t>ISIPI</t>
  </si>
  <si>
    <t>ISIPINGO</t>
  </si>
  <si>
    <t xml:space="preserve">TOYOTA SA MOTORS (PTY) LTD PRO     </t>
  </si>
  <si>
    <t>TOYOTA SA MOTORS  PTY  LTD PRO</t>
  </si>
  <si>
    <t xml:space="preserve">l parag                       </t>
  </si>
  <si>
    <t xml:space="preserve">POD received from cell 0670029554 M     </t>
  </si>
  <si>
    <t xml:space="preserve">SHATTERPRUFE TRADING AS A DIV      </t>
  </si>
  <si>
    <t>SHATTERPRUFE TRADING AS A DIV</t>
  </si>
  <si>
    <t>Desnay</t>
  </si>
  <si>
    <t xml:space="preserve">FESTO PORT ELIZABETH               </t>
  </si>
  <si>
    <t>JANSE VAN RENSBURG</t>
  </si>
  <si>
    <t>Carl</t>
  </si>
  <si>
    <t xml:space="preserve">FESTO DURBAN  SUITE 107A           </t>
  </si>
  <si>
    <t>FESTO DURBAN  SUITE 107A</t>
  </si>
  <si>
    <t>nadeem</t>
  </si>
  <si>
    <t>POD received from cell 0747980518 M</t>
  </si>
  <si>
    <t>PAARL</t>
  </si>
  <si>
    <t xml:space="preserve">HYDRAQUIP BERGRIVIER HIDROLIES     </t>
  </si>
  <si>
    <t>HYDRAQUIP BERGRIVIER HIDROLIES</t>
  </si>
  <si>
    <t>Le riche</t>
  </si>
  <si>
    <t>POD received from cell 0671392487 M</t>
  </si>
  <si>
    <t>philip</t>
  </si>
  <si>
    <t xml:space="preserve">MR CARRIERS    MONDI SOUTH AFR     </t>
  </si>
  <si>
    <t>MR CARRIERS    MONDI SOUTH AFR</t>
  </si>
  <si>
    <t>Devi</t>
  </si>
  <si>
    <t>POD received from cell 0672223699 M</t>
  </si>
  <si>
    <t>MIA</t>
  </si>
  <si>
    <t>DESPA</t>
  </si>
  <si>
    <t>DESPATCH</t>
  </si>
  <si>
    <t xml:space="preserve">THE SOUTH AFRICAN BREWERIES LT     </t>
  </si>
  <si>
    <t>THE SOUTH AFRICAN BREWERIES</t>
  </si>
  <si>
    <t>nadine</t>
  </si>
  <si>
    <t>uat</t>
  </si>
  <si>
    <t xml:space="preserve">NATIONAL BRANDS LIMITED  ROSSL     </t>
  </si>
  <si>
    <t>NATIONAL BRANDS LIMITED ROSSLY</t>
  </si>
  <si>
    <t>GRACE</t>
  </si>
  <si>
    <t>ATLAN</t>
  </si>
  <si>
    <t>ATLANTIS</t>
  </si>
  <si>
    <t xml:space="preserve">ZF PASSIVE SAFETY SOUTH AFRICA     </t>
  </si>
  <si>
    <t>ZF PASSIVE SAFETY SOUTH AFRICA</t>
  </si>
  <si>
    <t>Lester</t>
  </si>
  <si>
    <t>Missed cutoff</t>
  </si>
  <si>
    <t>TAJ</t>
  </si>
  <si>
    <t>POD received from cell 0829486869 M</t>
  </si>
  <si>
    <t>RUSTE</t>
  </si>
  <si>
    <t>RUSTENBURG</t>
  </si>
  <si>
    <t xml:space="preserve">RCL FOODS CONSUMER (PTY) LTD       </t>
  </si>
  <si>
    <t>RCL FOODS CONSUMER  PTY  LTD</t>
  </si>
  <si>
    <t>mogomotsi</t>
  </si>
  <si>
    <t>POD received from cell 0647443659 M</t>
  </si>
  <si>
    <t>0299</t>
  </si>
  <si>
    <t xml:space="preserve">AECI MINING LTD                    </t>
  </si>
  <si>
    <t>AECI MINING LTD    STEFANIE GR</t>
  </si>
  <si>
    <t>sibusiso</t>
  </si>
  <si>
    <t>POD received from cell 0766412100 M</t>
  </si>
  <si>
    <t xml:space="preserve">FESTO CAPE TOWN OFFICE             </t>
  </si>
  <si>
    <t>FESTO CAPE TOWN OFFICE</t>
  </si>
  <si>
    <t>Hugo</t>
  </si>
  <si>
    <t>POD received from cell 0761265903 M</t>
  </si>
  <si>
    <t xml:space="preserve">APEX AUTOMATION (PTY) LTD BRAS     </t>
  </si>
  <si>
    <t>APEX AUTOMATION  PTY  LTD BRAS</t>
  </si>
  <si>
    <t xml:space="preserve">deon                          </t>
  </si>
  <si>
    <t xml:space="preserve">PATERSON HUGHES ENGINEERING        </t>
  </si>
  <si>
    <t>PATERSON HUGHES ENGINEERING</t>
  </si>
  <si>
    <t>francis</t>
  </si>
  <si>
    <t>POD received from cell 0767196058 M</t>
  </si>
  <si>
    <t xml:space="preserve">BIO CAPSULE PHARMACHEUTICAL DI     </t>
  </si>
  <si>
    <t>BIO CAPSULE PHARMACHEUTICAL DI</t>
  </si>
  <si>
    <t>Claudelle</t>
  </si>
  <si>
    <t>POD received from cell 0792230061 M</t>
  </si>
  <si>
    <t xml:space="preserve">FILMATIC PACKAGING SYSTEMS PTY     </t>
  </si>
  <si>
    <t>FILMATIC PACKAGING SYSTEMS</t>
  </si>
  <si>
    <t>Patrick</t>
  </si>
  <si>
    <t xml:space="preserve">AUTO X PTY LTD                     </t>
  </si>
  <si>
    <t>AUTO X PTY LTD</t>
  </si>
  <si>
    <t>Godfrey</t>
  </si>
  <si>
    <t xml:space="preserve">LACTALIS SOUTH AFRICA (PTY) LT     </t>
  </si>
  <si>
    <t>LACTALIS SOUTH AFRICA  PTY  LT</t>
  </si>
  <si>
    <t>Luvuyo</t>
  </si>
  <si>
    <t xml:space="preserve">TIGER CONSUMER BRANDS              </t>
  </si>
  <si>
    <t>TIGER CONSUMER BRANDS</t>
  </si>
  <si>
    <t>Sandiso</t>
  </si>
  <si>
    <t>POD received from cell 0720194745 M</t>
  </si>
  <si>
    <t xml:space="preserve">MR CARRIERS                        </t>
  </si>
  <si>
    <t>MR CARRIERS</t>
  </si>
  <si>
    <t xml:space="preserve">FAIR CAPE DAIRIES (PTY) LTD        </t>
  </si>
  <si>
    <t>FAIR CAPE DAIRIES  PTY  LTD</t>
  </si>
  <si>
    <t>Grant</t>
  </si>
  <si>
    <t>POD received from cell 0614531552 M</t>
  </si>
  <si>
    <t xml:space="preserve">ZF LEMFOERDER S.A (PTY( LTD        </t>
  </si>
  <si>
    <t>ZF LEMFOERDER S.A  PTY  LTD</t>
  </si>
  <si>
    <t xml:space="preserve">monica                        </t>
  </si>
  <si>
    <t xml:space="preserve">AFRISAM SOUTH AFRICA PTY LTD B     </t>
  </si>
  <si>
    <t>AFRISAM SOUTH AFRICA PTY LTD B</t>
  </si>
  <si>
    <t>Victor</t>
  </si>
  <si>
    <t>ESTCO</t>
  </si>
  <si>
    <t>ESTCOURT</t>
  </si>
  <si>
    <t xml:space="preserve">NESTLE SOUTH AFRICA ESCOURT        </t>
  </si>
  <si>
    <t>NESTLE SOUTH AFRICA ESCOURT</t>
  </si>
  <si>
    <t>nokwanda</t>
  </si>
  <si>
    <t>HEID2</t>
  </si>
  <si>
    <t>HEIDELBERG (TVL)</t>
  </si>
  <si>
    <t xml:space="preserve">KARAN BEEF FARMING PTY LTD         </t>
  </si>
  <si>
    <t>KARAN BEEF FARMING PTY LTD</t>
  </si>
  <si>
    <t xml:space="preserve">thandi                        </t>
  </si>
  <si>
    <t xml:space="preserve">POD received from cell 0794504670 M     </t>
  </si>
  <si>
    <t xml:space="preserve">FEMSERVE (PTY) LTD                 </t>
  </si>
  <si>
    <t>FEMSERVE  PTY  LTD</t>
  </si>
  <si>
    <t>ROBIN</t>
  </si>
  <si>
    <t>POD received from cell 0763378994 M</t>
  </si>
  <si>
    <t xml:space="preserve">ARDAGH GLASS PACKAGING SOUTH A     </t>
  </si>
  <si>
    <t>ARDAGH GLASS PACKAGING SOUTH A</t>
  </si>
  <si>
    <t>Elijah</t>
  </si>
  <si>
    <t>POD received from cell 0833616148 M</t>
  </si>
  <si>
    <t xml:space="preserve">ROBOTIC HANDLING SYSTEMS CC        </t>
  </si>
  <si>
    <t>ROBOTIC HANDLING SYSTEMS CC</t>
  </si>
  <si>
    <t>Demetri</t>
  </si>
  <si>
    <t>POD received from cell 0746644640 M</t>
  </si>
  <si>
    <t xml:space="preserve">MONDI SOUTH AFRICA PROPRIETARY     </t>
  </si>
  <si>
    <t>MONDI SOUTH AFRICA PROPRIETARY</t>
  </si>
  <si>
    <t xml:space="preserve">sibusisiwe                    </t>
  </si>
  <si>
    <t xml:space="preserve">BMG BELLVILLE (PTY) LTD 0120       </t>
  </si>
  <si>
    <t>BMG BELLVILLE  PTY  LTD 0120</t>
  </si>
  <si>
    <t>Reggie</t>
  </si>
  <si>
    <t>ISITH</t>
  </si>
  <si>
    <t>ISITHEBE</t>
  </si>
  <si>
    <t xml:space="preserve">KIC SA PTY LTD                     </t>
  </si>
  <si>
    <t>KIC SA PTY LTD</t>
  </si>
  <si>
    <t>Moses</t>
  </si>
  <si>
    <t>POD received from cell 0762222571 M</t>
  </si>
  <si>
    <t xml:space="preserve">BOWLER PLASTICS (PTY) LTD          </t>
  </si>
  <si>
    <t>BOWLER PLASTICS  PTY  LTD</t>
  </si>
  <si>
    <t xml:space="preserve">Faeez                         </t>
  </si>
  <si>
    <t xml:space="preserve">POD received from cell 0747997508 M     </t>
  </si>
  <si>
    <t xml:space="preserve">BMG PORT ELIZABETH                 </t>
  </si>
  <si>
    <t>BMG PORT ELIZABETH</t>
  </si>
  <si>
    <t>Simphiwe</t>
  </si>
  <si>
    <t xml:space="preserve">HEINEKEN BEVERAGES SA (PTY) LT     </t>
  </si>
  <si>
    <t>HEINEKEN BEVERAGES SA  PTY  LT</t>
  </si>
  <si>
    <t>SYMON</t>
  </si>
  <si>
    <t>SOME2</t>
  </si>
  <si>
    <t>SOMERSET WEST</t>
  </si>
  <si>
    <t xml:space="preserve">GOSSAMER STRUCTURES LTD            </t>
  </si>
  <si>
    <t>GOSSAMER STRUCTURES LTD</t>
  </si>
  <si>
    <t>Janine</t>
  </si>
  <si>
    <t>jam</t>
  </si>
  <si>
    <t>POD received from cell 0810709670 M</t>
  </si>
  <si>
    <t>PINET</t>
  </si>
  <si>
    <t>PINETOWN</t>
  </si>
  <si>
    <t xml:space="preserve">NATIONAL PACKAGING SYSTEMS         </t>
  </si>
  <si>
    <t>NATIONAL PACKAGING SYSTEMS</t>
  </si>
  <si>
    <t>POD received from cell 0671865619 M</t>
  </si>
  <si>
    <t xml:space="preserve">PRO PROJECT MACHINERY PTY LTD      </t>
  </si>
  <si>
    <t>PRO PROJECT MACHINERY PTY LTD</t>
  </si>
  <si>
    <t>Juan</t>
  </si>
  <si>
    <t>POD received from cell 0612301350 M</t>
  </si>
  <si>
    <t xml:space="preserve">PROCESS VALVE CORPORATION CC 5     </t>
  </si>
  <si>
    <t>PROCESS VALVE CORPORATION CC 5</t>
  </si>
  <si>
    <t>anthony</t>
  </si>
  <si>
    <t xml:space="preserve">BEARING MAN GROUP PTY LTD          </t>
  </si>
  <si>
    <t>BEARING MAN GROUP</t>
  </si>
  <si>
    <t>zamokuhle</t>
  </si>
  <si>
    <t>BOX: CON</t>
  </si>
  <si>
    <t>MALME</t>
  </si>
  <si>
    <t>MALMESBURY</t>
  </si>
  <si>
    <t xml:space="preserve">HYDROMATIC T A HEADLINE TRADIN     </t>
  </si>
  <si>
    <t>HYDROMATIC</t>
  </si>
  <si>
    <t>Louis</t>
  </si>
  <si>
    <t>POD received from cell 0650974645 M</t>
  </si>
  <si>
    <t>THE SOUTH AFRICAN BREWERIES LT</t>
  </si>
  <si>
    <t xml:space="preserve">themba                        </t>
  </si>
  <si>
    <t xml:space="preserve">KIMBERLY-CLARK S.A VENDOR: 100     </t>
  </si>
  <si>
    <t>KIMBERLY-CLARK S.A VENDOR  100</t>
  </si>
  <si>
    <t>Masiviwe</t>
  </si>
  <si>
    <t>POD received from cell 0659386993 M</t>
  </si>
  <si>
    <t xml:space="preserve">FILMATIC PACKAGING SYSTEMS (PT     </t>
  </si>
  <si>
    <t>FILMATIC PACKAGING SYSTEMS  PT</t>
  </si>
  <si>
    <t xml:space="preserve">H.G MOLENAAR (PTY) LTD             </t>
  </si>
  <si>
    <t>H.G MOLENAAR</t>
  </si>
  <si>
    <t>Gavin</t>
  </si>
  <si>
    <t>H.G MOLENAAR  PTY  LTD</t>
  </si>
  <si>
    <t>ASHTO</t>
  </si>
  <si>
    <t>ASHTON</t>
  </si>
  <si>
    <t xml:space="preserve">CSM BEARINGS   PNEUMATICS ASHT     </t>
  </si>
  <si>
    <t>CSM BEARINGS   PNEUMATICS ASHT</t>
  </si>
  <si>
    <t>A Seffens</t>
  </si>
  <si>
    <t>POD received from cell 0608104719 M</t>
  </si>
  <si>
    <t xml:space="preserve">RCL GROUP SERVICES PTY LTD SCR     </t>
  </si>
  <si>
    <t>RCL GROUP SERVICES PTY LTD SCR</t>
  </si>
  <si>
    <t>Edith</t>
  </si>
  <si>
    <t>POD received from cell 0715414711 M</t>
  </si>
  <si>
    <t xml:space="preserve">DALE AUTOMATION PTY LTD            </t>
  </si>
  <si>
    <t>DALE AUTOMATION PTY LTD</t>
  </si>
  <si>
    <t>marno</t>
  </si>
  <si>
    <t>HND / FUE / doc</t>
  </si>
  <si>
    <t>POD received from cell 0722478975 M</t>
  </si>
  <si>
    <t xml:space="preserve">LEONARD DINGLER ( PTY) LTD PRO     </t>
  </si>
  <si>
    <t>LEONARD DINGLER   PTY  LTD PRO</t>
  </si>
  <si>
    <t>minah</t>
  </si>
  <si>
    <t xml:space="preserve">UNILEVER SOUTH AFRICA PTY LTD      </t>
  </si>
  <si>
    <t>UNILEVER SOUTH AFRICA PTY LTD</t>
  </si>
  <si>
    <t>Kanyane</t>
  </si>
  <si>
    <t>POD received from cell 0839573774 M</t>
  </si>
  <si>
    <t xml:space="preserve">NATIONAL BRANDS LTD- BECKETTS      </t>
  </si>
  <si>
    <t>NATIONAL BRANDS LTD- BECKETTS</t>
  </si>
  <si>
    <t>David</t>
  </si>
  <si>
    <t xml:space="preserve">CLOVER SA PTY LTD PERSEVERANCE     </t>
  </si>
  <si>
    <t>CLOVER SA PTY LTD PERSEVERANCE</t>
  </si>
  <si>
    <t>abegail</t>
  </si>
  <si>
    <t xml:space="preserve">CLURE PROJECTS CC                  </t>
  </si>
  <si>
    <t>CLURE PROJECTS CC</t>
  </si>
  <si>
    <t>Lathan</t>
  </si>
  <si>
    <t>jabu</t>
  </si>
  <si>
    <t>POD received from cell 0767738416 M</t>
  </si>
  <si>
    <t xml:space="preserve">NAMPAK PRODUCTS LTD T A BEVCAN     </t>
  </si>
  <si>
    <t>NAMPAK PRODUCTS LTD T A BEVCAN</t>
  </si>
  <si>
    <t>SANDISO</t>
  </si>
  <si>
    <t xml:space="preserve">KRONES SOUTH AFRICA PTY LTD LA     </t>
  </si>
  <si>
    <t>KRONES SOUTH AFRICA PTY LTD LA</t>
  </si>
  <si>
    <t>lebo</t>
  </si>
  <si>
    <t xml:space="preserve">BRIDGESTONE FIRESTONE              </t>
  </si>
  <si>
    <t>BRIDGESTONE FIRESTONE</t>
  </si>
  <si>
    <t>Esther</t>
  </si>
  <si>
    <t>POD received from cell 0790934153 M</t>
  </si>
  <si>
    <t>WORCE</t>
  </si>
  <si>
    <t>WORCESTER</t>
  </si>
  <si>
    <t xml:space="preserve">RCL FOODS CONSUMER (PTY) LTD M     </t>
  </si>
  <si>
    <t>RCL FOODS CONSUMER  PTY  LTD M</t>
  </si>
  <si>
    <t>Medwin</t>
  </si>
  <si>
    <t>POD received from cell 0786786237 M</t>
  </si>
  <si>
    <t xml:space="preserve">BENTELER SOUTH AFRICA PTY LTD      </t>
  </si>
  <si>
    <t>BENTELER SOUTH AFRICA PTY LTD</t>
  </si>
  <si>
    <t xml:space="preserve">belloana                      </t>
  </si>
  <si>
    <t xml:space="preserve">COMPRESSED AIR EQUIPMENT  JHB      </t>
  </si>
  <si>
    <t>COMPRESSED AIR EQUIPMENT</t>
  </si>
  <si>
    <t>maylee</t>
  </si>
  <si>
    <t>MIDRA</t>
  </si>
  <si>
    <t>MIDRAND</t>
  </si>
  <si>
    <t xml:space="preserve">HIGH-TECH CONTROLS (PTY) LTD       </t>
  </si>
  <si>
    <t>HIGH-TECH CONTROLS  PTY  LTD</t>
  </si>
  <si>
    <t>Harris</t>
  </si>
  <si>
    <t>POD received from cell 0605335750 M</t>
  </si>
  <si>
    <t xml:space="preserve">CONTINENTAL TYRE SA PTY LTD SI     </t>
  </si>
  <si>
    <t>CONTINENTAL TYRE SA PTY LTD SI</t>
  </si>
  <si>
    <t xml:space="preserve">richard                       </t>
  </si>
  <si>
    <t xml:space="preserve">POD received from cell 0644881838 M     </t>
  </si>
  <si>
    <t xml:space="preserve">DIYA VALVES INTERNATIONAL CC P     </t>
  </si>
  <si>
    <t>DIYA VALVES INTERNATIONAL CC P</t>
  </si>
  <si>
    <t>Redirect waybill on waybill nu</t>
  </si>
  <si>
    <t>Redirect waybill on waybill number R0800</t>
  </si>
  <si>
    <t xml:space="preserve">FAURECIA EMISIONS CONTROL TECH     </t>
  </si>
  <si>
    <t>FAURECIA EMISIONS CONTROL TECH</t>
  </si>
  <si>
    <t>Anelisa</t>
  </si>
  <si>
    <t>POD received from cell 0658421544 M</t>
  </si>
  <si>
    <t xml:space="preserve">MAXION WHEELS SOUTH AFRICA PTY     </t>
  </si>
  <si>
    <t>MAXION WHEELS SOUTH AFRICA PTY</t>
  </si>
  <si>
    <t>sibongile</t>
  </si>
  <si>
    <t xml:space="preserve">SMITHS MANUFACTURING (PTY) LTD     </t>
  </si>
  <si>
    <t>SMITHS MANUFACTURING  PTY  LTD</t>
  </si>
  <si>
    <t>Mohammed</t>
  </si>
  <si>
    <t xml:space="preserve">WASSERTEC OZONE SYSTEMS            </t>
  </si>
  <si>
    <t>WASSERTEC OZONE SYSTEMS</t>
  </si>
  <si>
    <t>Isaac</t>
  </si>
  <si>
    <t>POD received from cell 0727759089 M</t>
  </si>
  <si>
    <t xml:space="preserve">HYDRAULIC AND PNEUMATIC HUB GR     </t>
  </si>
  <si>
    <t>HYDRAULIC AND PNEUMATIC HUB GR</t>
  </si>
  <si>
    <t>Bernica</t>
  </si>
  <si>
    <t>POD received from cell 0714073863 M</t>
  </si>
  <si>
    <t xml:space="preserve">TECHQUIP DEVELOPMENTS CC ROSSB     </t>
  </si>
  <si>
    <t>TECHQUIP DEVELOPMENTS CC ROSSB</t>
  </si>
  <si>
    <t>either</t>
  </si>
  <si>
    <t xml:space="preserve">ANG INDUSTRIAL SOLUTIONS PTY       </t>
  </si>
  <si>
    <t>ANG INDUSTRIAL SOLUTIONS</t>
  </si>
  <si>
    <t>Samuel</t>
  </si>
  <si>
    <t>POD received from cell 0697291136 M</t>
  </si>
  <si>
    <t xml:space="preserve">SHIFT-ID (PTY) LTD FALCON PARK     </t>
  </si>
  <si>
    <t>SHIFT-ID  PTY  LTD FALCON PARK</t>
  </si>
  <si>
    <t>penny</t>
  </si>
  <si>
    <t xml:space="preserve">EMENEM INDUSTRIAL CC               </t>
  </si>
  <si>
    <t>EMENEM INDUSTRIAL CC</t>
  </si>
  <si>
    <t xml:space="preserve">LEROY                         </t>
  </si>
  <si>
    <t xml:space="preserve">CROWN CHICKENS (PTY) LTD T A S     </t>
  </si>
  <si>
    <t>CROWN CHICKENS  PTY  LTD T A S</t>
  </si>
  <si>
    <t xml:space="preserve">byron                         </t>
  </si>
  <si>
    <t>GONUB</t>
  </si>
  <si>
    <t>GONUBIE</t>
  </si>
  <si>
    <t xml:space="preserve">TITUS CONSULTING CC                </t>
  </si>
  <si>
    <t>TITUS CONSULTING CC</t>
  </si>
  <si>
    <t xml:space="preserve">tayron                        </t>
  </si>
  <si>
    <t xml:space="preserve">POD received from cell 0645575004 M     </t>
  </si>
  <si>
    <t xml:space="preserve">lilita                        </t>
  </si>
  <si>
    <t xml:space="preserve">CLIFFORD MACHINES   TECHNOLOGY     </t>
  </si>
  <si>
    <t>CLIFFORD MACHINES   TECHNOLOGY</t>
  </si>
  <si>
    <t>Reshen</t>
  </si>
  <si>
    <t>POD received from cell 0625489709 M</t>
  </si>
  <si>
    <t xml:space="preserve">EGLI PRECISION ENGINEERING PTY     </t>
  </si>
  <si>
    <t>EGLI PRECISION ENGINEERING PTY</t>
  </si>
  <si>
    <t>busani</t>
  </si>
  <si>
    <t>A Steffens</t>
  </si>
  <si>
    <t>SASOL</t>
  </si>
  <si>
    <t>SASOLBURG</t>
  </si>
  <si>
    <t xml:space="preserve">COREL INSTRUMENTATION   CONTRO     </t>
  </si>
  <si>
    <t>COREL INSTRUMENTATION   CONTRO</t>
  </si>
  <si>
    <t>benita</t>
  </si>
  <si>
    <t>POD received from cell 0639000995 M</t>
  </si>
  <si>
    <t xml:space="preserve">DEVCOTECH ELECTRICAL ENGINEERI     </t>
  </si>
  <si>
    <t>DEVCOTECH ELECTRICAL ENGINEERI</t>
  </si>
  <si>
    <t>tarryn</t>
  </si>
  <si>
    <t xml:space="preserve">CORRUSEAL CORRUGATED GAUTENG P     </t>
  </si>
  <si>
    <t>CORRUSEAL CORRUGATED GAUTENG P</t>
  </si>
  <si>
    <t>joel</t>
  </si>
  <si>
    <t>siphomandla</t>
  </si>
  <si>
    <t xml:space="preserve">DURASET STRATA CONTROL (PTY) L     </t>
  </si>
  <si>
    <t>DURASET STRATA CONTROL  PTY  L</t>
  </si>
  <si>
    <t>Abongile</t>
  </si>
  <si>
    <t>POD received from cell 0647581272 M</t>
  </si>
  <si>
    <t xml:space="preserve">ELEMENT SIX (PRODUCTION)           </t>
  </si>
  <si>
    <t>ELEMENT SIX</t>
  </si>
  <si>
    <t>PAULOS</t>
  </si>
  <si>
    <t xml:space="preserve">SAUCE KING MEADOWDALE              </t>
  </si>
  <si>
    <t>SAUCE KING MEADOWDALE</t>
  </si>
  <si>
    <t>nick</t>
  </si>
  <si>
    <t xml:space="preserve">THE SIMBA GROUP LTD MAIN AIRPO     </t>
  </si>
  <si>
    <t>THE SIMBA GROUP LTD MAIN AIRPO</t>
  </si>
  <si>
    <t xml:space="preserve">Jacob                         </t>
  </si>
  <si>
    <t xml:space="preserve">POD received from cell 0823636526 M     </t>
  </si>
  <si>
    <t xml:space="preserve">DIYA VALVES INTERNATIONAL CC C     </t>
  </si>
  <si>
    <t>DIYA VALVES INTERNATIONAL CC C</t>
  </si>
  <si>
    <t>alhay</t>
  </si>
  <si>
    <t>POD received from cell 0698085401 M</t>
  </si>
  <si>
    <t xml:space="preserve">G.U.D HOLDINGS (PTY) LTD PROSP     </t>
  </si>
  <si>
    <t>G.U.D HOLDINGS  PTY  LTD PROSP</t>
  </si>
  <si>
    <t xml:space="preserve">thabiso                       </t>
  </si>
  <si>
    <t xml:space="preserve">BAGTECH INTERNATIONAL PTY LTD      </t>
  </si>
  <si>
    <t>BAGTECH INTERNATIONAL</t>
  </si>
  <si>
    <t>Wiseman</t>
  </si>
  <si>
    <t>SOME1</t>
  </si>
  <si>
    <t>SOMERSET EAST</t>
  </si>
  <si>
    <t xml:space="preserve">P.J. ENGINEERING                   </t>
  </si>
  <si>
    <t>P.J. ENGINEERING</t>
  </si>
  <si>
    <t>heletje</t>
  </si>
  <si>
    <t xml:space="preserve">lolita                        </t>
  </si>
  <si>
    <t xml:space="preserve">DIVFOOD A DIV OF NAMPAK            </t>
  </si>
  <si>
    <t>DIVFOOD A DIV OF NAMPAK</t>
  </si>
  <si>
    <t>RAMESH</t>
  </si>
  <si>
    <t>POD received from cell 0661437222 M</t>
  </si>
  <si>
    <t xml:space="preserve">COLGATE PALMOLIVE LTD              </t>
  </si>
  <si>
    <t>COLGATE PALMOLIVE LTD</t>
  </si>
  <si>
    <t>SILINDILE</t>
  </si>
  <si>
    <t>lerato</t>
  </si>
  <si>
    <t xml:space="preserve">VICTORY ELECTRICAL CC              </t>
  </si>
  <si>
    <t>VICTORY ELECTRICAL CC</t>
  </si>
  <si>
    <t>sibusio</t>
  </si>
  <si>
    <t>REA</t>
  </si>
  <si>
    <t>Cecilia</t>
  </si>
  <si>
    <t>POD received from cell 0606746779 M</t>
  </si>
  <si>
    <t xml:space="preserve">HYGIENIC TISSUE MILL               </t>
  </si>
  <si>
    <t>HYGIENIC TISSUE MILL</t>
  </si>
  <si>
    <t>nontokozo</t>
  </si>
  <si>
    <t xml:space="preserve">PAILPAC (PTY) LTD                  </t>
  </si>
  <si>
    <t>PAILPAC  PTY  LTD</t>
  </si>
  <si>
    <t>lamie</t>
  </si>
  <si>
    <t>BENON</t>
  </si>
  <si>
    <t>BENONI</t>
  </si>
  <si>
    <t xml:space="preserve">AVION EAST RAND (PTY) LTD          </t>
  </si>
  <si>
    <t>AVION EAST RAND  PTY  LTD</t>
  </si>
  <si>
    <t>Roberto</t>
  </si>
  <si>
    <t>POD received from cell 0817257646 M</t>
  </si>
  <si>
    <t xml:space="preserve">IMPACT DISTRIBUTORS (PTY) LTD      </t>
  </si>
  <si>
    <t>IMPACT DISTRIBUTORS  PTY  LTDD</t>
  </si>
  <si>
    <t>gavin</t>
  </si>
  <si>
    <t>SYSTEM</t>
  </si>
  <si>
    <t xml:space="preserve">SAINT-GOBAIN CIONSTRUCTION PRO     </t>
  </si>
  <si>
    <t>SAINT-GOBAIN CIONSTRUCTION PRO</t>
  </si>
  <si>
    <t>PHETHENI</t>
  </si>
  <si>
    <t>POD received from cell 0736687669 M</t>
  </si>
  <si>
    <t xml:space="preserve">PFG BUILDING GLASS                 </t>
  </si>
  <si>
    <t>PFG BUILDING GLASS</t>
  </si>
  <si>
    <t>THABO</t>
  </si>
  <si>
    <t xml:space="preserve">TM ENGINEERING                     </t>
  </si>
  <si>
    <t>TM ENGINEERING</t>
  </si>
  <si>
    <t>TAZ</t>
  </si>
  <si>
    <t xml:space="preserve">NEOPAK                             </t>
  </si>
  <si>
    <t>NEOPAK</t>
  </si>
  <si>
    <t xml:space="preserve">PHUMZILE                      </t>
  </si>
  <si>
    <t xml:space="preserve">WINTERTIDE TRADING 69 T A P AN     </t>
  </si>
  <si>
    <t>WINTERTIDE TRADING 69 T A P AN</t>
  </si>
  <si>
    <t>jamie</t>
  </si>
  <si>
    <t xml:space="preserve">NATIONAL BRANDS BIS SNK DIV BI     </t>
  </si>
  <si>
    <t>NATIONAL BRANDS BIS SNK DIV</t>
  </si>
  <si>
    <t xml:space="preserve">Stanley                       </t>
  </si>
  <si>
    <t>TUBING R</t>
  </si>
  <si>
    <t xml:space="preserve">POLYOAK PACKAGING (PTY) LTD DI     </t>
  </si>
  <si>
    <t>POLYOAK PACKAGING  PTY  LTD DI</t>
  </si>
  <si>
    <t>Tamaryn</t>
  </si>
  <si>
    <t xml:space="preserve">PROPET S.A (PTY) LTD               </t>
  </si>
  <si>
    <t>PROPET S.A  PTY  LTD</t>
  </si>
  <si>
    <t>STILL</t>
  </si>
  <si>
    <t xml:space="preserve">JLINC T A TASAMA TRADING 213C      </t>
  </si>
  <si>
    <t>JLINC T A TASAMA TRADING 213C</t>
  </si>
  <si>
    <t>Lutzeler</t>
  </si>
  <si>
    <t xml:space="preserve">UNILEVER SOUTH AFRICA PTY NLTD     </t>
  </si>
  <si>
    <t>UNILEVER SOUTH AFRICA</t>
  </si>
  <si>
    <t>NIKESH</t>
  </si>
  <si>
    <t>AMANZ</t>
  </si>
  <si>
    <t>AMANZIMTOTI</t>
  </si>
  <si>
    <t xml:space="preserve">Rymco                              </t>
  </si>
  <si>
    <t>Poveshan</t>
  </si>
  <si>
    <t xml:space="preserve">Jendamark                          </t>
  </si>
  <si>
    <t>Jane</t>
  </si>
  <si>
    <t xml:space="preserve">General Pneumatics                 </t>
  </si>
  <si>
    <t>Mark</t>
  </si>
  <si>
    <t xml:space="preserve">KUMBALANI                          </t>
  </si>
  <si>
    <t>0691607477</t>
  </si>
  <si>
    <t>POD received from cell 0609039667 M</t>
  </si>
  <si>
    <t xml:space="preserve">VOLKSWAGEN OF SA VC3055            </t>
  </si>
  <si>
    <t>VOLKSWAGEN OF SA VC3055</t>
  </si>
  <si>
    <t>candice</t>
  </si>
  <si>
    <t xml:space="preserve">MINI PAL                      </t>
  </si>
  <si>
    <t>Krisen</t>
  </si>
  <si>
    <t>POD received from cell 0738022932 M</t>
  </si>
  <si>
    <t>BOXES</t>
  </si>
  <si>
    <t xml:space="preserve">ROBERT BOSCH PTY LTD               </t>
  </si>
  <si>
    <t>ROBERT BOSCH PTY LTD</t>
  </si>
  <si>
    <t>Nicholas</t>
  </si>
  <si>
    <t>Late linehaul</t>
  </si>
  <si>
    <t>ora</t>
  </si>
  <si>
    <t>Ryno</t>
  </si>
  <si>
    <t xml:space="preserve">CONRO PRECISION                    </t>
  </si>
  <si>
    <t>CONRO PRECISION</t>
  </si>
  <si>
    <t>Kevin</t>
  </si>
  <si>
    <t xml:space="preserve">MDW PNEUMATIC TRADING PTY LTD      </t>
  </si>
  <si>
    <t>MDW PNEUMATIC TRADING PTY LTD</t>
  </si>
  <si>
    <t xml:space="preserve">GULTO                         </t>
  </si>
  <si>
    <t>a witbooi</t>
  </si>
  <si>
    <t>mohammed</t>
  </si>
  <si>
    <t>POD received from cell 0714971272 M</t>
  </si>
  <si>
    <t xml:space="preserve">GAP INNOVATIONS (PTY LTD MOUNT     </t>
  </si>
  <si>
    <t>GAP INNOVATIONS  PTY LTD MOUNT</t>
  </si>
  <si>
    <t>Justin</t>
  </si>
  <si>
    <t xml:space="preserve">HACKMACK ENTERPRISES               </t>
  </si>
  <si>
    <t>HACKMACK ENTERPRISES</t>
  </si>
  <si>
    <t>Jeff</t>
  </si>
  <si>
    <t>POD received from cell 0780568122 M</t>
  </si>
  <si>
    <t>radil</t>
  </si>
  <si>
    <t xml:space="preserve">CONTINENTAL TYRE SA SIDWELL        </t>
  </si>
  <si>
    <t>CONTINENTAL TYRE SA SIDWELL</t>
  </si>
  <si>
    <t>lanie</t>
  </si>
  <si>
    <t xml:space="preserve">GRW ENGINEERING (PTY) LTD          </t>
  </si>
  <si>
    <t>GRW ENGINEERING  PTY  LTD</t>
  </si>
  <si>
    <t>S Van Wyk</t>
  </si>
  <si>
    <t xml:space="preserve">Noma                          </t>
  </si>
  <si>
    <t xml:space="preserve">POD received from cell 0658550146 M     </t>
  </si>
  <si>
    <t xml:space="preserve">sikonathi                     </t>
  </si>
  <si>
    <t xml:space="preserve">POD received from cell 0788915943 M     </t>
  </si>
  <si>
    <t xml:space="preserve">Desnay                        </t>
  </si>
  <si>
    <t xml:space="preserve">POD received from cell 0814739791 M     </t>
  </si>
  <si>
    <t>POTCH</t>
  </si>
  <si>
    <t>POTCHEFSTROOM</t>
  </si>
  <si>
    <t xml:space="preserve">VESCOTECH                          </t>
  </si>
  <si>
    <t>VESCOTECH</t>
  </si>
  <si>
    <t>Myron</t>
  </si>
  <si>
    <t>POD received from cell 0737934317 M</t>
  </si>
  <si>
    <t xml:space="preserve">Emily                         </t>
  </si>
  <si>
    <t xml:space="preserve">POD received from cell 0738058187 M     </t>
  </si>
  <si>
    <t>Driver late</t>
  </si>
  <si>
    <t>nch</t>
  </si>
  <si>
    <t>POD received from cell 0780915494 M</t>
  </si>
  <si>
    <t xml:space="preserve">TI GROUP AUTOMOTIVE SYSTEMS (P     </t>
  </si>
  <si>
    <t>TI GROUP AUTOMOTIVE SYSTEMS  P</t>
  </si>
  <si>
    <t xml:space="preserve">reejan                        </t>
  </si>
  <si>
    <t xml:space="preserve">Sibusiso                      </t>
  </si>
  <si>
    <t xml:space="preserve">MARCOM PLASTICS PTY LTD            </t>
  </si>
  <si>
    <t>MARCOM PLASTICS</t>
  </si>
  <si>
    <t>MARIUM</t>
  </si>
  <si>
    <t>lorenzo</t>
  </si>
  <si>
    <t xml:space="preserve">Janine                        </t>
  </si>
  <si>
    <t xml:space="preserve">POD received from cell 0627266420 M     </t>
  </si>
  <si>
    <t xml:space="preserve">eltina                        </t>
  </si>
  <si>
    <t xml:space="preserve">POD received from cell 0746644640 M     </t>
  </si>
  <si>
    <t>BAGTECH INTERNATIONAL PTY LTD</t>
  </si>
  <si>
    <t>lev</t>
  </si>
  <si>
    <t>HOWIC</t>
  </si>
  <si>
    <t>HOWICK</t>
  </si>
  <si>
    <t xml:space="preserve">FAIRFIELD DAIRY PTY LTD            </t>
  </si>
  <si>
    <t>FAIRFIELD DAIRY PTY LTD</t>
  </si>
  <si>
    <t>sbongiseni</t>
  </si>
  <si>
    <t>POD received from cell 0633530723 M</t>
  </si>
  <si>
    <t xml:space="preserve">DKT   PARTNERS PTY LTD             </t>
  </si>
  <si>
    <t>DKT   PARTNERS PTY LTD</t>
  </si>
  <si>
    <t>priest</t>
  </si>
  <si>
    <t xml:space="preserve">BRITISH AMERICAN TOBACCO SA        </t>
  </si>
  <si>
    <t>BRITISH AMERICAN TOBACCO SA</t>
  </si>
  <si>
    <t>bongs</t>
  </si>
  <si>
    <t>POD received from cell 0794504670 M</t>
  </si>
  <si>
    <t xml:space="preserve">Nadine                        </t>
  </si>
  <si>
    <t xml:space="preserve">POD received from cell 0711146140 M     </t>
  </si>
  <si>
    <t xml:space="preserve">GRAMEC (PTY) LTD                   </t>
  </si>
  <si>
    <t>GRAMEC  PTY  LTD</t>
  </si>
  <si>
    <t>nelifresen</t>
  </si>
  <si>
    <t xml:space="preserve">BLAIZEPOINT TRADING 274 CC T A     </t>
  </si>
  <si>
    <t>BLAIZEPOINT TRADING 274 CC T A</t>
  </si>
  <si>
    <t>bailey</t>
  </si>
  <si>
    <t>ROODE</t>
  </si>
  <si>
    <t>ROODEPOORT</t>
  </si>
  <si>
    <t xml:space="preserve">I AM AUTOMATION                    </t>
  </si>
  <si>
    <t>I AM AUTOMATION</t>
  </si>
  <si>
    <t xml:space="preserve">JB viljoen                    </t>
  </si>
  <si>
    <t xml:space="preserve">POD received from cell 0683701964 M     </t>
  </si>
  <si>
    <t xml:space="preserve">HYDRAULIC AND PNEUMATIC HUB        </t>
  </si>
  <si>
    <t>HYDRAULIC AND PNEUMATIC HUB</t>
  </si>
  <si>
    <t>belloana</t>
  </si>
  <si>
    <t>POD received from cell 0793062989 M</t>
  </si>
  <si>
    <t xml:space="preserve">QUALITECHS                         </t>
  </si>
  <si>
    <t>QUALITECHS</t>
  </si>
  <si>
    <t>ishaan</t>
  </si>
  <si>
    <t>CAIPHUS</t>
  </si>
  <si>
    <t>NEROSHA</t>
  </si>
  <si>
    <t xml:space="preserve">FLSMIDTH SOUTH AFRICA PTY LTD      </t>
  </si>
  <si>
    <t>FLSMIDTH SOUTH AFRICA PTY LTD</t>
  </si>
  <si>
    <t>Millicent</t>
  </si>
  <si>
    <t xml:space="preserve">FRONERI SOUTH AFRICA (PTY) LTD     </t>
  </si>
  <si>
    <t>FRONERI SOUTH AFRICA  PTY  LTD</t>
  </si>
  <si>
    <t>George</t>
  </si>
  <si>
    <t xml:space="preserve">GENERAL  PNEUMATICS                </t>
  </si>
  <si>
    <t>GENERAL  PNEUMATICS</t>
  </si>
  <si>
    <t>Lion</t>
  </si>
  <si>
    <t xml:space="preserve">BASF SOUTH AFRICA PTY LTD          </t>
  </si>
  <si>
    <t>BASF SOUTH AFRICA PTY LTD</t>
  </si>
  <si>
    <t xml:space="preserve">bruce                         </t>
  </si>
  <si>
    <t xml:space="preserve">1310 MAIN STREET PYT LTD T A T     </t>
  </si>
  <si>
    <t>1310 MAIN STREET PYT LTD T A T</t>
  </si>
  <si>
    <t>NEO</t>
  </si>
  <si>
    <t>0117</t>
  </si>
  <si>
    <t>ERIC</t>
  </si>
  <si>
    <t>POD received from cell 0761615396 M</t>
  </si>
  <si>
    <t xml:space="preserve">TENNECO RIDE CONTROL SA (PTY)      </t>
  </si>
  <si>
    <t>TENNECO RIDE CONTROL SA  PTY</t>
  </si>
  <si>
    <t xml:space="preserve">pumla                         </t>
  </si>
  <si>
    <t xml:space="preserve">FEDERAL MOGUL ENGINE BEARINGS      </t>
  </si>
  <si>
    <t>FEDERAL MOGUL ENGINE BEARINGS</t>
  </si>
  <si>
    <t xml:space="preserve">makayla                       </t>
  </si>
  <si>
    <t xml:space="preserve">POD received from cell 0671865619 M     </t>
  </si>
  <si>
    <t xml:space="preserve">EFAMATIC MACHINE TOOLS             </t>
  </si>
  <si>
    <t>EFAMATIC MACHINE TOOLS</t>
  </si>
  <si>
    <t>terence</t>
  </si>
  <si>
    <t>machaela</t>
  </si>
  <si>
    <t>UMBOG</t>
  </si>
  <si>
    <t>UMBOGINTWINI</t>
  </si>
  <si>
    <t xml:space="preserve">RYMCO PTY LTD T A ANCHOR YEAST     </t>
  </si>
  <si>
    <t>RYMCO</t>
  </si>
  <si>
    <t>kuben</t>
  </si>
  <si>
    <t>ntm</t>
  </si>
  <si>
    <t>POD received from cell 0671711975 M</t>
  </si>
  <si>
    <t xml:space="preserve">CCBSA HEIDELBERG VALPRE LAGERS     </t>
  </si>
  <si>
    <t>CCBSA HEIDELBERG VALPRE LAGERS</t>
  </si>
  <si>
    <t>katlego</t>
  </si>
  <si>
    <t>f roux</t>
  </si>
  <si>
    <t>Outlying delivery location</t>
  </si>
  <si>
    <t>yca</t>
  </si>
  <si>
    <t xml:space="preserve">HEINEKEN SOUTH AFRICA (PTY) LT     </t>
  </si>
  <si>
    <t>HEINEKEN SOUTH AFRICA  PTY  LT</t>
  </si>
  <si>
    <t>SIGNED</t>
  </si>
  <si>
    <t xml:space="preserve">GUTH SOUTH AFRICA (PTY) LTD NE     </t>
  </si>
  <si>
    <t>GUTH SOUTH AFRICA  PTY  LTD NE</t>
  </si>
  <si>
    <t>piet</t>
  </si>
  <si>
    <t>POD received from cell 0715578102 M</t>
  </si>
  <si>
    <t xml:space="preserve">DALEIN AGRI PLAN (PTY) LTD         </t>
  </si>
  <si>
    <t>DALEIN AGRI PLAN  PTY  LTD</t>
  </si>
  <si>
    <t>gert</t>
  </si>
  <si>
    <t>POD received from cell 0763224862 M</t>
  </si>
  <si>
    <t>0186</t>
  </si>
  <si>
    <t xml:space="preserve">BME PACKAGING CC LONGMEADOW ED     </t>
  </si>
  <si>
    <t>BME PACKAGING CC LONGMEADOW ED</t>
  </si>
  <si>
    <t>Sarah</t>
  </si>
  <si>
    <t xml:space="preserve">BMG EAST LONDON                    </t>
  </si>
  <si>
    <t>BMG EAST LONDON</t>
  </si>
  <si>
    <t>andile</t>
  </si>
  <si>
    <t>LICHT</t>
  </si>
  <si>
    <t>LICHTENBURG</t>
  </si>
  <si>
    <t xml:space="preserve">JAPIE GODFREY    VESCOTECH         </t>
  </si>
  <si>
    <t>JAPIE GODFREY    VESCOTECH</t>
  </si>
  <si>
    <t>JAPIE</t>
  </si>
  <si>
    <t>motlatsi</t>
  </si>
  <si>
    <t xml:space="preserve">PARCEL (                      </t>
  </si>
  <si>
    <t xml:space="preserve">IRVIN   JOHNSON LTD                </t>
  </si>
  <si>
    <t>IRVIN   JOHNSON LTD</t>
  </si>
  <si>
    <t>Nelly</t>
  </si>
  <si>
    <t>POD received from cell 0633442020 M</t>
  </si>
  <si>
    <t xml:space="preserve">Nondumiso                     </t>
  </si>
  <si>
    <t xml:space="preserve">POD received from cell 0719533928 M     </t>
  </si>
  <si>
    <t>PFARELO</t>
  </si>
  <si>
    <t xml:space="preserve">KELLOGGS CO OF SA PTY LTD VEND     </t>
  </si>
  <si>
    <t>KELLOGGS CO OF SA PTY LTD VEND</t>
  </si>
  <si>
    <t>isaac</t>
  </si>
  <si>
    <t>POD received from cell 0678197388 M</t>
  </si>
  <si>
    <t>Taznyn</t>
  </si>
  <si>
    <t>ATH</t>
  </si>
  <si>
    <t>POD received from cell 0767510913 M</t>
  </si>
  <si>
    <t xml:space="preserve">SNEAKER SNACKS CC                  </t>
  </si>
  <si>
    <t>SNEAKER SNACKS CC</t>
  </si>
  <si>
    <t>llewellyn</t>
  </si>
  <si>
    <t xml:space="preserve">CSM ENGINEERING CC CENTURION       </t>
  </si>
  <si>
    <t>CSM ENGINEERING CC CENTURION</t>
  </si>
  <si>
    <t xml:space="preserve">UDO                           </t>
  </si>
  <si>
    <t xml:space="preserve">COCA-COLA BEVERAGES SOUTH AFRI     </t>
  </si>
  <si>
    <t>COCA-COLA BEVERAGES SOUTH AFRI</t>
  </si>
  <si>
    <t>OMPHILE</t>
  </si>
  <si>
    <t>0082</t>
  </si>
  <si>
    <t xml:space="preserve">FAMOUS BRANDS MANAGEMENT           </t>
  </si>
  <si>
    <t>FAMOUS BRANDS MANAGEMENT</t>
  </si>
  <si>
    <t>ilitha</t>
  </si>
  <si>
    <t>POD received from cell 0848256515 M</t>
  </si>
  <si>
    <t>wisman</t>
  </si>
  <si>
    <t xml:space="preserve">ERA STENE (PTY) LTD OLIFANTSFO     </t>
  </si>
  <si>
    <t>ERA STENE  PTY  LTD OLIFANTSFO</t>
  </si>
  <si>
    <t>marco</t>
  </si>
  <si>
    <t xml:space="preserve">PROMAX SIVEX DISTRIBUTORS CC T     </t>
  </si>
  <si>
    <t>PROMAX SIVEX DISTRIBUTORS CC T</t>
  </si>
  <si>
    <t>DANIE</t>
  </si>
  <si>
    <t>0083</t>
  </si>
  <si>
    <t xml:space="preserve">noma                          </t>
  </si>
  <si>
    <t xml:space="preserve">TRANSVAAL HYDRAULICS (PTY) LTD     </t>
  </si>
  <si>
    <t>TRANSVAAL HYDRAULICS  PTY  LTD</t>
  </si>
  <si>
    <t>Chinique</t>
  </si>
  <si>
    <t xml:space="preserve">BOX:CONT                      </t>
  </si>
  <si>
    <t xml:space="preserve">SPRING MEADOW DAIRY FARM PTY L     </t>
  </si>
  <si>
    <t>SPRING MEADOW DAIRY FARM PTY L</t>
  </si>
  <si>
    <t>sudith</t>
  </si>
  <si>
    <t xml:space="preserve">LEDA ENGINEERING SERVICES CC       </t>
  </si>
  <si>
    <t>LEDA ENGINEERING SERVICES CC</t>
  </si>
  <si>
    <t>claire</t>
  </si>
  <si>
    <t xml:space="preserve">EXCEL TOOLING                      </t>
  </si>
  <si>
    <t>EXCEL TOOLING</t>
  </si>
  <si>
    <t xml:space="preserve">gwen                          </t>
  </si>
  <si>
    <t xml:space="preserve">katlego                       </t>
  </si>
  <si>
    <t xml:space="preserve">POD received from cell 0844936893 M     </t>
  </si>
  <si>
    <t xml:space="preserve">ARDAGH GLASS PACKAGING             </t>
  </si>
  <si>
    <t>ARDAGH GLASS PACKAGING</t>
  </si>
  <si>
    <t>cidney</t>
  </si>
  <si>
    <t>MOSSE</t>
  </si>
  <si>
    <t>MOSSEL BAY</t>
  </si>
  <si>
    <t xml:space="preserve">CSM BEARINGS   PNEUMATICS MOSS     </t>
  </si>
  <si>
    <t>CSM BEARINGS   PNEUMATICS MOSS</t>
  </si>
  <si>
    <t>santie</t>
  </si>
  <si>
    <t>POD received from cell 0781804576 M</t>
  </si>
  <si>
    <t xml:space="preserve">RICH PRODUCTS CORP OF SOUTH AF     </t>
  </si>
  <si>
    <t>RICH PRODUCTS CORP OF SOUTH AF</t>
  </si>
  <si>
    <t xml:space="preserve">golden                        </t>
  </si>
  <si>
    <t xml:space="preserve">POD received from cell 0825419099 M     </t>
  </si>
  <si>
    <t xml:space="preserve">GRANROTH (PTY) LTD                 </t>
  </si>
  <si>
    <t>GRANROTH  PTY  LTD</t>
  </si>
  <si>
    <t xml:space="preserve">katia                         </t>
  </si>
  <si>
    <t>HUMAN</t>
  </si>
  <si>
    <t>HUMANSDORP</t>
  </si>
  <si>
    <t xml:space="preserve">WOODLANDS DAIRY PTY LTD HUMANS     </t>
  </si>
  <si>
    <t>WOODLANDS DAIRY PTY LTD HUMANS</t>
  </si>
  <si>
    <t xml:space="preserve">Percy                         </t>
  </si>
  <si>
    <t xml:space="preserve">POD received from cell 0694933966 M     </t>
  </si>
  <si>
    <t xml:space="preserve">MESCHTEC SERVICES (PTY) LTD        </t>
  </si>
  <si>
    <t>MESCHTEC SERVICES  PTY  LTD</t>
  </si>
  <si>
    <t>Tracy</t>
  </si>
  <si>
    <t xml:space="preserve">BBF SAFETY FROUP (PTY) LTD         </t>
  </si>
  <si>
    <t>BBF SAFETY FROUP  PTY  LTD</t>
  </si>
  <si>
    <t xml:space="preserve">Sadha                         </t>
  </si>
  <si>
    <t xml:space="preserve">AUTOLIV S.A                        </t>
  </si>
  <si>
    <t>AUTOLIV S.A</t>
  </si>
  <si>
    <t>hazel</t>
  </si>
  <si>
    <t>POD received from cell 0692594615 M</t>
  </si>
  <si>
    <t xml:space="preserve">TUBING R                      </t>
  </si>
  <si>
    <t xml:space="preserve">ALBANY BAKERIES A DIVISION OF      </t>
  </si>
  <si>
    <t>ALBANY BAKERIES A DIVISION OF</t>
  </si>
  <si>
    <t xml:space="preserve">andries                       </t>
  </si>
  <si>
    <t>0001</t>
  </si>
  <si>
    <t xml:space="preserve">MIA                           </t>
  </si>
  <si>
    <t xml:space="preserve">HARVEY ROOFING PRODUCTS A DIV      </t>
  </si>
  <si>
    <t>HARVEY ROOFING PRODUCTS A DIV</t>
  </si>
  <si>
    <t>tumi</t>
  </si>
  <si>
    <t>POD received from cell 0828358925 M</t>
  </si>
  <si>
    <t>STEL2</t>
  </si>
  <si>
    <t>STELLENBOSCH</t>
  </si>
  <si>
    <t xml:space="preserve">TF DESIGN PTY LTD                  </t>
  </si>
  <si>
    <t>TF DESIGN</t>
  </si>
  <si>
    <t xml:space="preserve">eugene                        </t>
  </si>
  <si>
    <t xml:space="preserve">POD received from cell 0678518887 M     </t>
  </si>
  <si>
    <t xml:space="preserve">Hardus                        </t>
  </si>
  <si>
    <t xml:space="preserve">POD received from cell 0761265903 M     </t>
  </si>
  <si>
    <t xml:space="preserve">UV+IR ENGINEERING (PTY) LTD        </t>
  </si>
  <si>
    <t>UVIR ENGINEERING  PTY  LTD</t>
  </si>
  <si>
    <t>joyce</t>
  </si>
  <si>
    <t>POD received from cell 0834186909 M</t>
  </si>
  <si>
    <t xml:space="preserve">BLACK SHEEP INDUSTRIES PTY LTD     </t>
  </si>
  <si>
    <t>BLACK SHEEP INDUSTRIES</t>
  </si>
  <si>
    <t>Will</t>
  </si>
  <si>
    <t>POD received from cell 0728834171 M</t>
  </si>
  <si>
    <t xml:space="preserve">SPIRAX SARCO SA PTY LTD            </t>
  </si>
  <si>
    <t>SPIRAX SARCO</t>
  </si>
  <si>
    <t>Joseph</t>
  </si>
  <si>
    <t xml:space="preserve">NUKOR (PTY) LTD                    </t>
  </si>
  <si>
    <t>NUKOR  PTY  LTD</t>
  </si>
  <si>
    <t>tman</t>
  </si>
  <si>
    <t>POD received from cell 0665274072 M</t>
  </si>
  <si>
    <t>RANDF</t>
  </si>
  <si>
    <t>RANDFONTEIN</t>
  </si>
  <si>
    <t xml:space="preserve">RCL GROUP SERVICES (PTY) LTD       </t>
  </si>
  <si>
    <t>RCL GROUP SERVICES  PTY  LTD</t>
  </si>
  <si>
    <t xml:space="preserve">rofhiwa                       </t>
  </si>
  <si>
    <t xml:space="preserve">POD received from cell 0679017498 M     </t>
  </si>
  <si>
    <t xml:space="preserve">MERCEDES BENZ SOUTH AFRICA         </t>
  </si>
  <si>
    <t>MERCEDES BENZ S.A</t>
  </si>
  <si>
    <t>chez</t>
  </si>
  <si>
    <t>POD received from cell 0740914769 M</t>
  </si>
  <si>
    <t>SAGEN</t>
  </si>
  <si>
    <t xml:space="preserve">SIQALO FOODS PTY LTD               </t>
  </si>
  <si>
    <t>SIQALO FOODS PTY LTD</t>
  </si>
  <si>
    <t>Lisa</t>
  </si>
  <si>
    <t xml:space="preserve">Moses                         </t>
  </si>
  <si>
    <t xml:space="preserve">ENTYCE BEVERAGES  DIVISION OF      </t>
  </si>
  <si>
    <t>ENTYCE BEVERAGES  DIVISION OF</t>
  </si>
  <si>
    <t>vukani</t>
  </si>
  <si>
    <t>POD received from cell 0797318730 M</t>
  </si>
  <si>
    <t xml:space="preserve">FUSE-A-TRON SA (PTY) LTD           </t>
  </si>
  <si>
    <t>FUSE-A-TRON SA  PTY  LTD</t>
  </si>
  <si>
    <t>Rickey</t>
  </si>
  <si>
    <t xml:space="preserve">BLISS BRANDS (PTY) LTD             </t>
  </si>
  <si>
    <t>BLISS BRANDS</t>
  </si>
  <si>
    <t>Younus</t>
  </si>
  <si>
    <t xml:space="preserve">RESRG AUTOMATIVE ZA (PTY) LTD      </t>
  </si>
  <si>
    <t>RESRG AUTOMATIVE ZA  PTY  LTD</t>
  </si>
  <si>
    <t>lubabalo</t>
  </si>
  <si>
    <t>Doyle</t>
  </si>
  <si>
    <t>jadene</t>
  </si>
  <si>
    <t>jlc</t>
  </si>
  <si>
    <t>POD received from cell 0751114122 M</t>
  </si>
  <si>
    <t xml:space="preserve">AUTO INDUSTRIAL MACHINING A DI     </t>
  </si>
  <si>
    <t>AUTO INDUSTRIAL MACHINING A DI</t>
  </si>
  <si>
    <t>Oupa</t>
  </si>
  <si>
    <t>Taz</t>
  </si>
  <si>
    <t xml:space="preserve">PROXA SOUTH AFRICA (PTY) LTD B     </t>
  </si>
  <si>
    <t>PROXA SOUTH AFRICA  PTY  LTD B</t>
  </si>
  <si>
    <t>Carlo Roy</t>
  </si>
  <si>
    <t xml:space="preserve">TI GROUP AUTOMOTIVE SYSTEMS        </t>
  </si>
  <si>
    <t>TI GROUP AUTOMOTIVE SYSTEMS</t>
  </si>
  <si>
    <t>XOLISWA</t>
  </si>
  <si>
    <t>ranoel</t>
  </si>
  <si>
    <t>RAJIN</t>
  </si>
  <si>
    <t xml:space="preserve">ANDREW MENTIS (PTY) LTD            </t>
  </si>
  <si>
    <t>ANDREW MENTIS  PTY  LTD</t>
  </si>
  <si>
    <t>derick</t>
  </si>
  <si>
    <t>Mbona</t>
  </si>
  <si>
    <t>likey</t>
  </si>
  <si>
    <t xml:space="preserve">ADIENT SOUTH AFRICA (PTY) LTD      </t>
  </si>
  <si>
    <t>ADIENT SOUTH AFRICA  PTY  LTD</t>
  </si>
  <si>
    <t>karabo</t>
  </si>
  <si>
    <t>POD received from cell 0844936893 M</t>
  </si>
  <si>
    <t>0184</t>
  </si>
  <si>
    <t xml:space="preserve">ACEPAK PACKAGING SYSTEMS           </t>
  </si>
  <si>
    <t>ACEPAK PACKAGING SYSTEMS</t>
  </si>
  <si>
    <t>madlech</t>
  </si>
  <si>
    <t>Sindile</t>
  </si>
  <si>
    <t xml:space="preserve">PRODUCTIVE SYSTEMS CC              </t>
  </si>
  <si>
    <t>PRODUCTIVE SYSTEMS CC</t>
  </si>
  <si>
    <t>ALFRED</t>
  </si>
  <si>
    <t xml:space="preserve">gortia                        </t>
  </si>
  <si>
    <t xml:space="preserve">POD received from cell 0699631211 M     </t>
  </si>
  <si>
    <t>alethea</t>
  </si>
  <si>
    <t>kedibone</t>
  </si>
  <si>
    <t xml:space="preserve">SFC SOLUTIONS CLIMATE SOUTH AF     </t>
  </si>
  <si>
    <t>SFC SOLUTIONS CLIMATE SOUTH AF</t>
  </si>
  <si>
    <t xml:space="preserve">siviwe                        </t>
  </si>
  <si>
    <t xml:space="preserve">PROCTER   GAMBLE MANUFACTURING     </t>
  </si>
  <si>
    <t>PROCTER   GAMBLE MANUFACTURING</t>
  </si>
  <si>
    <t>M Stephen</t>
  </si>
  <si>
    <t>EMPAN</t>
  </si>
  <si>
    <t>EMPANGENI</t>
  </si>
  <si>
    <t xml:space="preserve">MPACT FELIXTON MILL                </t>
  </si>
  <si>
    <t>MPACT FELIXTON MILL</t>
  </si>
  <si>
    <t>M MAISELA</t>
  </si>
  <si>
    <t>POD received from cell 0670888210 M</t>
  </si>
  <si>
    <t xml:space="preserve">flyer                         </t>
  </si>
  <si>
    <t>MARY</t>
  </si>
  <si>
    <t>jma</t>
  </si>
  <si>
    <t xml:space="preserve">PARCELS                       </t>
  </si>
  <si>
    <t>van DER nest</t>
  </si>
  <si>
    <t>POD received from cell 0644881838 M</t>
  </si>
  <si>
    <t xml:space="preserve">DNH MANUFACTURING (PTY) LTD        </t>
  </si>
  <si>
    <t>DNH MANUFACTURING  PTY  LTD</t>
  </si>
  <si>
    <t xml:space="preserve">Andries                       </t>
  </si>
  <si>
    <t>jackie</t>
  </si>
  <si>
    <t>SECUN</t>
  </si>
  <si>
    <t>SECUNDA</t>
  </si>
  <si>
    <t xml:space="preserve">SASOL SYNFUELS VAT REG: 438010     </t>
  </si>
  <si>
    <t>SASOL SYNFUELS VAT REG  438010</t>
  </si>
  <si>
    <t>POD received from cell 0766391926 M</t>
  </si>
  <si>
    <t xml:space="preserve">BIC SA (PTY) LTD                   </t>
  </si>
  <si>
    <t>STORE MANAGER</t>
  </si>
  <si>
    <t>TSHEMO</t>
  </si>
  <si>
    <t>Returned to sender on waybill</t>
  </si>
  <si>
    <t>Returned to sender on waybill number R08</t>
  </si>
  <si>
    <t xml:space="preserve">CROWN CHICKENS T A SOVEREIGNFO     </t>
  </si>
  <si>
    <t>CROWN CHICKENS T A SOVEREIGNFO</t>
  </si>
  <si>
    <t>BOITUMELO</t>
  </si>
  <si>
    <t>0183</t>
  </si>
  <si>
    <t>Anika</t>
  </si>
  <si>
    <t>POD received from cell 0837842726 M</t>
  </si>
  <si>
    <t xml:space="preserve">OPTIMECH ENGINEERING SOLUTIONS     </t>
  </si>
  <si>
    <t>OPTIMECH ENGINEERING SOLUTIONS</t>
  </si>
  <si>
    <t>KOVILIN</t>
  </si>
  <si>
    <t>POD received from cell 0716311909 M</t>
  </si>
  <si>
    <t xml:space="preserve">ASTRATEK PROJECTS (PTY) LTD MA     </t>
  </si>
  <si>
    <t>ASTRATEK PROJECTS  PTY  LTD MA</t>
  </si>
  <si>
    <t>sina</t>
  </si>
  <si>
    <t xml:space="preserve">FESTO CAPE TOWN                    </t>
  </si>
  <si>
    <t xml:space="preserve">FESTO DURBAN                       </t>
  </si>
  <si>
    <t>THABISO MAKATINI</t>
  </si>
  <si>
    <t>YVONNE</t>
  </si>
  <si>
    <t xml:space="preserve">PALLET                        </t>
  </si>
  <si>
    <t xml:space="preserve">curry                         </t>
  </si>
  <si>
    <t>POD received from cell 0622930487 M</t>
  </si>
  <si>
    <t>POD received from cell 0694933966 M</t>
  </si>
  <si>
    <t xml:space="preserve">AYON SOLUTIONS CC BRAKPAN          </t>
  </si>
  <si>
    <t>AYON SOLUTIONS CC BRAKPAN</t>
  </si>
  <si>
    <t>Riaan</t>
  </si>
  <si>
    <t xml:space="preserve">DE BEERS MARINE PTY LTD CAPE T     </t>
  </si>
  <si>
    <t>DE BEERS MARINE PTY LTD CAPE T</t>
  </si>
  <si>
    <t>Silas</t>
  </si>
  <si>
    <t xml:space="preserve">COLLABORATIVE PACKING SOLUTION     </t>
  </si>
  <si>
    <t>COLLABORATIVE PACKING SOLUTION</t>
  </si>
  <si>
    <t>Manuel</t>
  </si>
  <si>
    <t>POD received from cell 0658308170 M</t>
  </si>
  <si>
    <t>andre</t>
  </si>
  <si>
    <t>POD received from cell 0699631211 M</t>
  </si>
  <si>
    <t>sphah</t>
  </si>
  <si>
    <t>POD received from cell 0620163857 M</t>
  </si>
  <si>
    <t>Tim</t>
  </si>
  <si>
    <t>POD received from cell 0782274968 M</t>
  </si>
  <si>
    <t>Kenneth</t>
  </si>
  <si>
    <t>POD received from cell 0781810800 M</t>
  </si>
  <si>
    <t>brad</t>
  </si>
  <si>
    <t>POD received from cell 0608702785 M</t>
  </si>
  <si>
    <t xml:space="preserve">PMD PACKAGING SYSTEMS              </t>
  </si>
  <si>
    <t>PMD PACKAGING SYSTEMS</t>
  </si>
  <si>
    <t>Shando</t>
  </si>
  <si>
    <t>POD received from cell 0720457394 M</t>
  </si>
  <si>
    <t>NYHATENG</t>
  </si>
  <si>
    <t>WILLEM</t>
  </si>
  <si>
    <t>PPM</t>
  </si>
  <si>
    <t>GULTO</t>
  </si>
  <si>
    <t xml:space="preserve">AUTOMATISIERUNG PTY LTD            </t>
  </si>
  <si>
    <t>AUTOMATISIERUNG PTY LTD</t>
  </si>
  <si>
    <t>Marvin</t>
  </si>
  <si>
    <t>louse</t>
  </si>
  <si>
    <t>shaakir</t>
  </si>
  <si>
    <t>LEROY</t>
  </si>
  <si>
    <t>Charles</t>
  </si>
  <si>
    <t xml:space="preserve">BOLT   ENGINEERING DISTRIBUTOR     </t>
  </si>
  <si>
    <t>BOLT   ENGINEERING DISTRIBUTOR</t>
  </si>
  <si>
    <t>SINETH</t>
  </si>
  <si>
    <t xml:space="preserve">ADCOCK INGRAM HEALTHCARE (PTY)     </t>
  </si>
  <si>
    <t>ADCOCK INGRAM HEALTHCARE  PTY</t>
  </si>
  <si>
    <t>simon</t>
  </si>
  <si>
    <t>KIM</t>
  </si>
  <si>
    <t>M Saba</t>
  </si>
  <si>
    <t>gift</t>
  </si>
  <si>
    <t xml:space="preserve">HOT PLATINUM PTY LTD               </t>
  </si>
  <si>
    <t>HOT PLATINUM PTY LTD</t>
  </si>
  <si>
    <t>Amina</t>
  </si>
  <si>
    <t>POD received from cell 0833656676 M</t>
  </si>
  <si>
    <t>Alister</t>
  </si>
  <si>
    <t>Johny</t>
  </si>
  <si>
    <t xml:space="preserve">PRAGA TECHNICAL PTY LTD PLZ        </t>
  </si>
  <si>
    <t>PRAGA TECHNICAL PTY LTD PLZ</t>
  </si>
  <si>
    <t>Priscilla</t>
  </si>
  <si>
    <t xml:space="preserve">RCL FOODS CONSUMER (PTY) LTD F     </t>
  </si>
  <si>
    <t>RCL FOODS CONSUMER  PTY  LTD F</t>
  </si>
  <si>
    <t>michael</t>
  </si>
  <si>
    <t xml:space="preserve">FOODCORP (PTY) LTD  CHARLOTTE      </t>
  </si>
  <si>
    <t>FOODCORP  PTY  LTD  CHARLOTTE</t>
  </si>
  <si>
    <t>PAUL</t>
  </si>
  <si>
    <t xml:space="preserve">PE HYDRAULICS   PNEUMATICS         </t>
  </si>
  <si>
    <t>PE HYDRAULICS   PNEUMATICS</t>
  </si>
  <si>
    <t>rakesh</t>
  </si>
  <si>
    <t xml:space="preserve">MACSTEEL COIL PROCESSING           </t>
  </si>
  <si>
    <t>MACSTEEL COIL PROCESSING</t>
  </si>
  <si>
    <t>Alphonso</t>
  </si>
  <si>
    <t>POD received from cell 0747997508 M</t>
  </si>
  <si>
    <t xml:space="preserve">PRO PROJECT MACHINERY ( PTY )      </t>
  </si>
  <si>
    <t>PRO PROJECT MACHINERY   PTY</t>
  </si>
  <si>
    <t>doyle</t>
  </si>
  <si>
    <t>Greg</t>
  </si>
  <si>
    <t>Rebecca</t>
  </si>
  <si>
    <t xml:space="preserve">HMF TECHNOLOGIES (PTY) LTD         </t>
  </si>
  <si>
    <t>HMF TECHNOLOGIES  PTY  LTD</t>
  </si>
  <si>
    <t>LETISIA</t>
  </si>
  <si>
    <t xml:space="preserve">ACEPAK PACKAGING SYSTEMS UNIT      </t>
  </si>
  <si>
    <t>ACEPAK PACKAGING SYSTEMS UNIT</t>
  </si>
  <si>
    <t>maduela</t>
  </si>
  <si>
    <t xml:space="preserve">PUREM PORT ELIZABETH               </t>
  </si>
  <si>
    <t>PUREM PORT ELIZABETH</t>
  </si>
  <si>
    <t>victor</t>
  </si>
  <si>
    <t>eli</t>
  </si>
  <si>
    <t>althea</t>
  </si>
  <si>
    <t>HARRI</t>
  </si>
  <si>
    <t>HARRISMITH</t>
  </si>
  <si>
    <t xml:space="preserve">NESTLE SOUTH AFRICA (PTY) LTD      </t>
  </si>
  <si>
    <t>NESTLE SOUTH AFRICA  PTY  LTD</t>
  </si>
  <si>
    <t>Thobile</t>
  </si>
  <si>
    <t>POD received from cell 0638379238 M</t>
  </si>
  <si>
    <t xml:space="preserve">PHINDA                        </t>
  </si>
  <si>
    <t xml:space="preserve">POD received from cell 0661437222 M     </t>
  </si>
  <si>
    <t>siyabonga</t>
  </si>
  <si>
    <t>POD received from cell 0825419099 M</t>
  </si>
  <si>
    <t xml:space="preserve">FORD MOTORING CO OF SA SIMON V     </t>
  </si>
  <si>
    <t>FORD MOTORING CO OF SA SIMON V</t>
  </si>
  <si>
    <t>mojapelo</t>
  </si>
  <si>
    <t>signed</t>
  </si>
  <si>
    <t>LEV</t>
  </si>
  <si>
    <t xml:space="preserve">GENERAL  PNEUMATICS KZN            </t>
  </si>
  <si>
    <t>GENERAL PNEUMATICS</t>
  </si>
  <si>
    <t>lawzi</t>
  </si>
  <si>
    <t>mario</t>
  </si>
  <si>
    <t>POD received from cell 0611330958 M</t>
  </si>
  <si>
    <t>Sadha</t>
  </si>
  <si>
    <t>UNILEVER SOUTH AFRICA PTY NLTD</t>
  </si>
  <si>
    <t>siyanda</t>
  </si>
  <si>
    <t xml:space="preserve">MED-ENGINEERING (PTY) LTD          </t>
  </si>
  <si>
    <t>MED-ENGINEERING  PTY  LTD</t>
  </si>
  <si>
    <t>Randal</t>
  </si>
  <si>
    <t>gart</t>
  </si>
  <si>
    <t xml:space="preserve">NESTLE SOUTH AFRICA PTY LTD        </t>
  </si>
  <si>
    <t>NESTLE SOUTH AFRICA PTY LTD</t>
  </si>
  <si>
    <t xml:space="preserve">NOLUTHANDO                    </t>
  </si>
  <si>
    <t>Slindile</t>
  </si>
  <si>
    <t xml:space="preserve">FLEXICON AFRICA PTY                </t>
  </si>
  <si>
    <t>FLEXICON AFRICA PTY</t>
  </si>
  <si>
    <t>maron</t>
  </si>
  <si>
    <t xml:space="preserve">RCL FOODS CONSUMER (PTY) LTD S     </t>
  </si>
  <si>
    <t>RCL FOODS CONSUMER  PTY  LTD S</t>
  </si>
  <si>
    <t>b fork</t>
  </si>
  <si>
    <t>POD received from cell 0813352451 M</t>
  </si>
  <si>
    <t>DELMA</t>
  </si>
  <si>
    <t>DELMAS</t>
  </si>
  <si>
    <t xml:space="preserve">MCCAIN FOODS SOUTH AFRICA PTY      </t>
  </si>
  <si>
    <t>MCCAIN FOODS SOUTH AFRICA PTY</t>
  </si>
  <si>
    <t>Michael</t>
  </si>
  <si>
    <t>POD received from cell 0659646054 M</t>
  </si>
  <si>
    <t>spha</t>
  </si>
  <si>
    <t>ukhanyisani</t>
  </si>
  <si>
    <t>alex</t>
  </si>
  <si>
    <t>BETHA</t>
  </si>
  <si>
    <t>BETHAL</t>
  </si>
  <si>
    <t xml:space="preserve">QRS INDUSTRIAL GROUP BETHAL        </t>
  </si>
  <si>
    <t>QRS INDUSTRIAL GROUP BETHAL</t>
  </si>
  <si>
    <t>Sandra</t>
  </si>
  <si>
    <t>POD received from cell 0664026421 M</t>
  </si>
  <si>
    <t>Ronaldo</t>
  </si>
  <si>
    <t xml:space="preserve">PLASTIC                       </t>
  </si>
  <si>
    <t>sive</t>
  </si>
  <si>
    <t>Juanita</t>
  </si>
  <si>
    <t>POD received from cell 0662882525 M</t>
  </si>
  <si>
    <t>Ricardo</t>
  </si>
  <si>
    <t xml:space="preserve">PREMIER INDUSTRIAL DISTRIBUTOR     </t>
  </si>
  <si>
    <t>PREMIER INDUSTRIAL DISTRIBUTOR</t>
  </si>
  <si>
    <t>Arno</t>
  </si>
  <si>
    <t>POD received from cell 0718083440 M</t>
  </si>
  <si>
    <t>amon</t>
  </si>
  <si>
    <t>KOVILINI</t>
  </si>
  <si>
    <t>raymond</t>
  </si>
  <si>
    <t>enrico</t>
  </si>
  <si>
    <t>SHAUN</t>
  </si>
  <si>
    <t>enricc</t>
  </si>
  <si>
    <t>grandville</t>
  </si>
  <si>
    <t xml:space="preserve">BLENDCOR (PTY) LTD 5482            </t>
  </si>
  <si>
    <t>BLENDCOR  PTY  LTD 5482</t>
  </si>
  <si>
    <t xml:space="preserve">SBUH                          </t>
  </si>
  <si>
    <t xml:space="preserve">RULA BULK MATERIALS HANDLING P     </t>
  </si>
  <si>
    <t>RULA BULK MATERIALS HANDLING P</t>
  </si>
  <si>
    <t>faith</t>
  </si>
  <si>
    <t>POD received from cell 0785995125 M</t>
  </si>
  <si>
    <t>enrco</t>
  </si>
  <si>
    <t xml:space="preserve">PINCLIP INDUSTRIES (PTY) LTD       </t>
  </si>
  <si>
    <t>PINCLIP INDUSTRIES  PTY  LTD</t>
  </si>
  <si>
    <t>charmaine</t>
  </si>
  <si>
    <t>hather</t>
  </si>
  <si>
    <t xml:space="preserve">PNEUMATIC AID                      </t>
  </si>
  <si>
    <t>PNEUMATIC AID</t>
  </si>
  <si>
    <t>hannu</t>
  </si>
  <si>
    <t>riska</t>
  </si>
  <si>
    <t xml:space="preserve">SPRING MEADOW DAIRY FARM (PTY)     </t>
  </si>
  <si>
    <t>SPRING MEADOW DAIRY FARM  PTY</t>
  </si>
  <si>
    <t>Sudith</t>
  </si>
  <si>
    <t xml:space="preserve">AFRISAM SOUTH AFRICA (PTY) LTD     </t>
  </si>
  <si>
    <t>AFRISAM SOUTH AFRICA  PTY  LTD</t>
  </si>
  <si>
    <t>khulu</t>
  </si>
  <si>
    <t>POD received from cell 0845040713 M</t>
  </si>
  <si>
    <t>Hlanganani</t>
  </si>
  <si>
    <t xml:space="preserve">ADJ ENGINEERING WORKS CC           </t>
  </si>
  <si>
    <t>ADJ ENGINEERING WORKS CC</t>
  </si>
  <si>
    <t xml:space="preserve">HEUNIS STEEL (PTY) LTD             </t>
  </si>
  <si>
    <t>HEUNIS STEEL  PTY  LTD</t>
  </si>
  <si>
    <t xml:space="preserve">SHERLEEN                      </t>
  </si>
  <si>
    <t>Tohmson</t>
  </si>
  <si>
    <t>anika</t>
  </si>
  <si>
    <t xml:space="preserve">SCHULLPAK CC                       </t>
  </si>
  <si>
    <t>SCHULLPAK CC</t>
  </si>
  <si>
    <t>ruan</t>
  </si>
  <si>
    <t>BALF2</t>
  </si>
  <si>
    <t>BALFOUR (TVL)</t>
  </si>
  <si>
    <t xml:space="preserve">KARAN BEEF PTY LTD ORDER NUMBE     </t>
  </si>
  <si>
    <t>KARAN BEEF PTY LTD ORDER NUMBE</t>
  </si>
  <si>
    <t>Hein</t>
  </si>
  <si>
    <t>mmd</t>
  </si>
  <si>
    <t>POD received from cell 0606968550 M</t>
  </si>
  <si>
    <t xml:space="preserve">STAND BA                      </t>
  </si>
  <si>
    <t xml:space="preserve">Lona                          </t>
  </si>
  <si>
    <t xml:space="preserve">POD received from cell 0834177790 M     </t>
  </si>
  <si>
    <t xml:space="preserve">THRIFT ENGINEERING (PTY) LTD       </t>
  </si>
  <si>
    <t>THRIFT ENGINEERING  PTY  LTD</t>
  </si>
  <si>
    <t>jason</t>
  </si>
  <si>
    <t>Renny</t>
  </si>
  <si>
    <t>spah</t>
  </si>
  <si>
    <t>Llewellyn</t>
  </si>
  <si>
    <t>Pancho</t>
  </si>
  <si>
    <t xml:space="preserve">MITAS CORPORATION (PTY) LTD        </t>
  </si>
  <si>
    <t>MITAS CORPORATION  PTY  LTD</t>
  </si>
  <si>
    <t>MATTIEU</t>
  </si>
  <si>
    <t>ZALLEN</t>
  </si>
  <si>
    <t>neven</t>
  </si>
  <si>
    <t xml:space="preserve">VOITH TURBO (PTY) LTD WITFIELD     </t>
  </si>
  <si>
    <t>VOITH TURBO  PTY  LTD WITFIELD</t>
  </si>
  <si>
    <t>PRIDE</t>
  </si>
  <si>
    <t xml:space="preserve">Martin                        </t>
  </si>
  <si>
    <t xml:space="preserve">POD received from cell 0715155602 M     </t>
  </si>
  <si>
    <t>khosi</t>
  </si>
  <si>
    <t>POD received from cell 0699031384 M</t>
  </si>
  <si>
    <t xml:space="preserve">LEVEL PRODUCTS CC RUSTIVIA         </t>
  </si>
  <si>
    <t>LEVEL PRODUCTS CC RUSTIVIA</t>
  </si>
  <si>
    <t>daniel</t>
  </si>
  <si>
    <t xml:space="preserve">GKD AFRICA (PTY) LTD RANDFONTE     </t>
  </si>
  <si>
    <t>GKD AFRICA  PTY  LTD RANDFONTE</t>
  </si>
  <si>
    <t>geelbooi</t>
  </si>
  <si>
    <t>POD received from cell 0606520943 M</t>
  </si>
  <si>
    <t xml:space="preserve">A C PNEUMATICS                     </t>
  </si>
  <si>
    <t>A C PNEUMATICS</t>
  </si>
  <si>
    <t>Denver</t>
  </si>
  <si>
    <t>FESTO PORT ELIZABETH JANSE VAN</t>
  </si>
  <si>
    <t>carl</t>
  </si>
  <si>
    <t xml:space="preserve">UNIVERSAL CLIPS PTY LTD            </t>
  </si>
  <si>
    <t>UNIVERSAL CLIPS PTY LTD</t>
  </si>
  <si>
    <t>Daniel</t>
  </si>
  <si>
    <t>POD received from cell 0677827371 M</t>
  </si>
  <si>
    <t>shane</t>
  </si>
  <si>
    <t>divaan</t>
  </si>
  <si>
    <t>POD received from cell 0678518887 M</t>
  </si>
  <si>
    <t xml:space="preserve">PARCERL                       </t>
  </si>
  <si>
    <t>Evans</t>
  </si>
  <si>
    <t>Warrick</t>
  </si>
  <si>
    <t xml:space="preserve">BIOX                          </t>
  </si>
  <si>
    <t xml:space="preserve">SOUTHERN SERVICES CC               </t>
  </si>
  <si>
    <t>SOUTHERN SERVICES CC</t>
  </si>
  <si>
    <t>DUDLEY</t>
  </si>
  <si>
    <t>TRUCK TO COLLECT</t>
  </si>
  <si>
    <t>POD received from cell 0719533928 M</t>
  </si>
  <si>
    <t>RICHA</t>
  </si>
  <si>
    <t>RICHARDS BAY</t>
  </si>
  <si>
    <t xml:space="preserve">UNIVERSITY OF ZULULAND (RICHAR     </t>
  </si>
  <si>
    <t>UNIVERSITY OF ZULULAND  061623</t>
  </si>
  <si>
    <t>Buthelezi</t>
  </si>
  <si>
    <t>ANB</t>
  </si>
  <si>
    <t>POD received from cell 0720375743 M</t>
  </si>
  <si>
    <t>KAWSAN</t>
  </si>
  <si>
    <t xml:space="preserve">KIMBERLY CLARK FAMILY CARE         </t>
  </si>
  <si>
    <t>N A</t>
  </si>
  <si>
    <t>POD received from cell 0614343280 M</t>
  </si>
  <si>
    <t xml:space="preserve">VENTURE NATAL DURBAN               </t>
  </si>
  <si>
    <t>VENTURE NATAL DURBAN</t>
  </si>
  <si>
    <t>brandon</t>
  </si>
  <si>
    <t>PORT4</t>
  </si>
  <si>
    <t>PORT SHEPSTONE</t>
  </si>
  <si>
    <t xml:space="preserve">HYDROMATIC ENTERPRISES PTY LTD     </t>
  </si>
  <si>
    <t>HYDROMATIC ENTERPRISES</t>
  </si>
  <si>
    <t>COURTLN</t>
  </si>
  <si>
    <t xml:space="preserve">BORBET SA PTY LTD                  </t>
  </si>
  <si>
    <t>BORBET SA PTY LTD</t>
  </si>
  <si>
    <t>zolani</t>
  </si>
  <si>
    <t>ANDREW</t>
  </si>
  <si>
    <t>thabilo</t>
  </si>
  <si>
    <t xml:space="preserve">BOSUN BRICK MIDRAND A DIV OF B     </t>
  </si>
  <si>
    <t>BOSUN BRICK MIDRAND A DIV OF B</t>
  </si>
  <si>
    <t>peginalo</t>
  </si>
  <si>
    <t>Dylan</t>
  </si>
  <si>
    <t xml:space="preserve">BBF SAFETY GROUP (PTY) LTD         </t>
  </si>
  <si>
    <t>BBF SAFETY GROUP</t>
  </si>
  <si>
    <t>Ronica</t>
  </si>
  <si>
    <t>Graydon</t>
  </si>
  <si>
    <t xml:space="preserve">MORNE                         </t>
  </si>
  <si>
    <t>Gary</t>
  </si>
  <si>
    <t>V E H</t>
  </si>
  <si>
    <t>SABIAN</t>
  </si>
  <si>
    <t>Jerome</t>
  </si>
  <si>
    <t>POD received from cell 0682690407 M</t>
  </si>
  <si>
    <t xml:space="preserve">Llewellyn                     </t>
  </si>
  <si>
    <t xml:space="preserve">POD received from cell 0767738416 M     </t>
  </si>
  <si>
    <t xml:space="preserve">HEINEKEN BEVERAGES SA PTY LTD      </t>
  </si>
  <si>
    <t>HEINEKEN BEVERAGES SA PTY LTD</t>
  </si>
  <si>
    <t>keith</t>
  </si>
  <si>
    <t>Ewon</t>
  </si>
  <si>
    <t xml:space="preserve">ADVENTURE AUTOMOTIVE PRODUCTS      </t>
  </si>
  <si>
    <t>ADVENTURE AUTOMOTIVE PRODUCTS</t>
  </si>
  <si>
    <t>brendon</t>
  </si>
  <si>
    <t xml:space="preserve">BALLENA TRADING 31 PTY LTD T A     </t>
  </si>
  <si>
    <t>BALLENA TRADING 31 PTY LTD T A</t>
  </si>
  <si>
    <t>Tendai</t>
  </si>
  <si>
    <t>BIC SA PTY LTD</t>
  </si>
  <si>
    <t>LINDIWE</t>
  </si>
  <si>
    <t>POD received from cell 0797695335 M</t>
  </si>
  <si>
    <t>brendan</t>
  </si>
  <si>
    <t>ABRAM</t>
  </si>
  <si>
    <t>zakes</t>
  </si>
  <si>
    <t xml:space="preserve">DATA ELECTRICAL INSTRUMENTATIO     </t>
  </si>
  <si>
    <t>DATA ELECTRICAL INSTRUMENTATIO</t>
  </si>
  <si>
    <t>Charlie</t>
  </si>
  <si>
    <t xml:space="preserve">CIRCUIT BREAKER INDUSTRIES (PT     </t>
  </si>
  <si>
    <t>CIRCUIT BREAKER INDUSTRIES  PT</t>
  </si>
  <si>
    <t>Thabang</t>
  </si>
  <si>
    <t xml:space="preserve">MAKSAL TUBES (PTY) LTD             </t>
  </si>
  <si>
    <t>MAKSAL TUBES  PTY  LTD</t>
  </si>
  <si>
    <t>virginique</t>
  </si>
  <si>
    <t>POD received from cell 0715155602 M</t>
  </si>
  <si>
    <t xml:space="preserve">BOX (CON                      </t>
  </si>
  <si>
    <t>themba</t>
  </si>
  <si>
    <t>Noluthando</t>
  </si>
  <si>
    <t xml:space="preserve">PREMIER FMCG (PTY) LTD PINETOW     </t>
  </si>
  <si>
    <t>PREMIER FMCG  PTY  LTD PINETOW</t>
  </si>
  <si>
    <t>Fikile</t>
  </si>
  <si>
    <t>k  a  moloto</t>
  </si>
  <si>
    <t xml:space="preserve">sibusio                       </t>
  </si>
  <si>
    <t>HERERMUNUS</t>
  </si>
  <si>
    <t>rykie</t>
  </si>
  <si>
    <t xml:space="preserve">ACTUM INDUSTRIAL (PTY) LTD         </t>
  </si>
  <si>
    <t>ACTUM INDUSTRIAL  PTY  LTD</t>
  </si>
  <si>
    <t>SIPHELELE</t>
  </si>
  <si>
    <t>ELLIS</t>
  </si>
  <si>
    <t>ELLISRAS</t>
  </si>
  <si>
    <t xml:space="preserve">EXXARO LEPHALALE                   </t>
  </si>
  <si>
    <t>EXXARO LEPHALALE</t>
  </si>
  <si>
    <t>Shongoane</t>
  </si>
  <si>
    <t>POD received from cell 0712284657 M</t>
  </si>
  <si>
    <t>0555</t>
  </si>
  <si>
    <t xml:space="preserve">NJC MANUFACTURING (PTY) LTD        </t>
  </si>
  <si>
    <t>NJC MANUFACTURING  PTY  LTD</t>
  </si>
  <si>
    <t>Andrea</t>
  </si>
  <si>
    <t xml:space="preserve">LEBO                          </t>
  </si>
  <si>
    <t xml:space="preserve">POD received from cell 0839573774 M     </t>
  </si>
  <si>
    <t xml:space="preserve">DE BEERS GROUP SERVICE PTY LTD     </t>
  </si>
  <si>
    <t>DE BEERS GROUP SERVICE PTY LTD</t>
  </si>
  <si>
    <t>Siya</t>
  </si>
  <si>
    <t>POD received from cell 0834177790 M</t>
  </si>
  <si>
    <t xml:space="preserve">REEF CONSTRUCTION MACHINERY (P     </t>
  </si>
  <si>
    <t>REEF CONSTRUCTION MACHINERY  P</t>
  </si>
  <si>
    <t xml:space="preserve">BOIX                          </t>
  </si>
  <si>
    <t xml:space="preserve">lucky                         </t>
  </si>
  <si>
    <t xml:space="preserve">SAINT-GOBAIN CONSTRUCTION PROD     </t>
  </si>
  <si>
    <t>SAINT-GOBAIN CONSTRUCTION PROD</t>
  </si>
  <si>
    <t>richard</t>
  </si>
  <si>
    <t>NCH</t>
  </si>
  <si>
    <t>N Mapipe</t>
  </si>
  <si>
    <t>Jayden</t>
  </si>
  <si>
    <t xml:space="preserve">CAVALETTO 98 (PTY) LTD T A PRO     </t>
  </si>
  <si>
    <t>CAVALETTO 98  PTY  LTD T A PRO</t>
  </si>
  <si>
    <t>Ebin</t>
  </si>
  <si>
    <t>POD received from cell 0738745632 M</t>
  </si>
  <si>
    <t xml:space="preserve">BOWLER PLASTICS (PTY) LTD PHIL     </t>
  </si>
  <si>
    <t>BOWLER PLASTICS  PTY  LTD PHIL</t>
  </si>
  <si>
    <t>ivor</t>
  </si>
  <si>
    <t>POD received from cell 0679520811 M</t>
  </si>
  <si>
    <t xml:space="preserve">DUPLEIX LIQUID METERS (PTY) LT     </t>
  </si>
  <si>
    <t>DUPLEIX LIQUID METERS  PTY  LT</t>
  </si>
  <si>
    <t>ASHWIN</t>
  </si>
  <si>
    <t xml:space="preserve">INGRAIN SA (PTY) LTD  5217 GER     </t>
  </si>
  <si>
    <t>INGRAIN SA  PTY  LTD 5217 GERM</t>
  </si>
  <si>
    <t>PHOBECK</t>
  </si>
  <si>
    <t>SARAH</t>
  </si>
  <si>
    <t xml:space="preserve">ROCBOLT TECHNOLOGIES PTY LTD       </t>
  </si>
  <si>
    <t>ROCBOLT TECHNOLOGIES</t>
  </si>
  <si>
    <t>ntombi</t>
  </si>
  <si>
    <t>ZENANI</t>
  </si>
  <si>
    <t xml:space="preserve">mario                         </t>
  </si>
  <si>
    <t xml:space="preserve">POD received from cell 0685390657 M     </t>
  </si>
  <si>
    <t xml:space="preserve">WILLOWTON OIL   CAKE MILLS         </t>
  </si>
  <si>
    <t>WILLOWTON OIL   CAKE MILLS</t>
  </si>
  <si>
    <t xml:space="preserve">faraadh                       </t>
  </si>
  <si>
    <t>luyanda</t>
  </si>
  <si>
    <t xml:space="preserve">ILLOVO SUGAR                       </t>
  </si>
  <si>
    <t>ILLOVO SUGAR</t>
  </si>
  <si>
    <t xml:space="preserve">ACCUTECH WEIGHING SERVICES PTY     </t>
  </si>
  <si>
    <t>ACCUTECH WEIGHING SERVICES PTY</t>
  </si>
  <si>
    <t>POD received from cell 0736330154 M</t>
  </si>
  <si>
    <t>sibisisue</t>
  </si>
  <si>
    <t>chris</t>
  </si>
  <si>
    <t>chezz - 2BOXES DELIVERED NOT C</t>
  </si>
  <si>
    <t>neville</t>
  </si>
  <si>
    <t>LADYS</t>
  </si>
  <si>
    <t>LADYSMITH (NTL)</t>
  </si>
  <si>
    <t xml:space="preserve">LADYSMITH TRADING CC               </t>
  </si>
  <si>
    <t>LADYSMITH TRADING CC</t>
  </si>
  <si>
    <t>thulani</t>
  </si>
  <si>
    <t>POD received from cell 0662487527 M</t>
  </si>
  <si>
    <t xml:space="preserve">RHEINMETALL LAINSDALE (PTY) LT     </t>
  </si>
  <si>
    <t>RHEINMETALL LAINSDALE  PTY  LT</t>
  </si>
  <si>
    <t>Alfonzo</t>
  </si>
  <si>
    <t xml:space="preserve">INTAKA TECH PTY LTD                </t>
  </si>
  <si>
    <t>INTAKA TECH PTY LTD</t>
  </si>
  <si>
    <t>charlene</t>
  </si>
  <si>
    <t xml:space="preserve">virend                        </t>
  </si>
  <si>
    <t>KWASAN</t>
  </si>
  <si>
    <t>ricardo</t>
  </si>
  <si>
    <t xml:space="preserve">TIGER BRANDS ( CHOCOLATE UNIT      </t>
  </si>
  <si>
    <t>TIGER BRANDS   CHOCOLATE UNIT</t>
  </si>
  <si>
    <t>Brandon</t>
  </si>
  <si>
    <t>CHRISS</t>
  </si>
  <si>
    <t xml:space="preserve">Tenneco Ride Control               </t>
  </si>
  <si>
    <t>Chester Van Heerden</t>
  </si>
  <si>
    <t>lbr</t>
  </si>
  <si>
    <t xml:space="preserve">HMF Technologies                   </t>
  </si>
  <si>
    <t>Erika</t>
  </si>
  <si>
    <t xml:space="preserve">Supplyrite                         </t>
  </si>
  <si>
    <t xml:space="preserve">Med-Engineering                    </t>
  </si>
  <si>
    <t>Martie</t>
  </si>
  <si>
    <t>THABISO</t>
  </si>
  <si>
    <t>Lucky</t>
  </si>
  <si>
    <t>janine</t>
  </si>
  <si>
    <t xml:space="preserve">ENAEX AFRICA (PTY) LTD             </t>
  </si>
  <si>
    <t>ENAEX AFRICA  PTY  LTD</t>
  </si>
  <si>
    <t>petunia</t>
  </si>
  <si>
    <t xml:space="preserve">LAMBDA AUTOMATION (PTY) LTD        </t>
  </si>
  <si>
    <t>LAMBDA AUTOMATION  PTY  LTD</t>
  </si>
  <si>
    <t>Sammy</t>
  </si>
  <si>
    <t>POD received from cell 0751320604 M</t>
  </si>
  <si>
    <t>Adden</t>
  </si>
  <si>
    <t>lawazi</t>
  </si>
  <si>
    <t>tony</t>
  </si>
  <si>
    <t>LOLITA</t>
  </si>
  <si>
    <t xml:space="preserve">INGRAIN SA (PTY) LTD BELLVILLE     </t>
  </si>
  <si>
    <t>INGRAIN SA  PTY  LTD BELLVILLE</t>
  </si>
  <si>
    <t>peter</t>
  </si>
  <si>
    <t>katia</t>
  </si>
  <si>
    <t>siboniso</t>
  </si>
  <si>
    <t xml:space="preserve">LACTALIS SOUTH AFRICA              </t>
  </si>
  <si>
    <t>LACTALIS SOUTH AFRICA</t>
  </si>
  <si>
    <t>sinalo</t>
  </si>
  <si>
    <t xml:space="preserve">PREMIER FMCG (PTY) LTD MILL        </t>
  </si>
  <si>
    <t>PREMIER FMCG  PTY  LTD MILL</t>
  </si>
  <si>
    <t>SHANE</t>
  </si>
  <si>
    <t>Andries</t>
  </si>
  <si>
    <t>SUWELLEN</t>
  </si>
  <si>
    <t>lami</t>
  </si>
  <si>
    <t xml:space="preserve">KW BREAD PACKAGING SYSTEMS CC      </t>
  </si>
  <si>
    <t>KW BREAD PACKAGING SYSTEMS CC</t>
  </si>
  <si>
    <t xml:space="preserve">leanne                        </t>
  </si>
  <si>
    <t>TAMERYN</t>
  </si>
  <si>
    <t xml:space="preserve">FRESENIUS KABI MANUFACTURING       </t>
  </si>
  <si>
    <t>FRESENIUS KABI MANUFACTURING</t>
  </si>
  <si>
    <t>keenan</t>
  </si>
  <si>
    <t xml:space="preserve">THE SIMBA GROUP LTD                </t>
  </si>
  <si>
    <t>THE SIMBA GROUP</t>
  </si>
  <si>
    <t>r mitchelson</t>
  </si>
  <si>
    <t>ENRICO</t>
  </si>
  <si>
    <t xml:space="preserve">CULINARY  A DIVISION OF TIGER      </t>
  </si>
  <si>
    <t>CULINARY  A DIVISION OF TIGER</t>
  </si>
  <si>
    <t xml:space="preserve">LUCAS                         </t>
  </si>
  <si>
    <t xml:space="preserve">FIRST NATIONAL BATTERY             </t>
  </si>
  <si>
    <t>FIRST NATIONAL BATTERY</t>
  </si>
  <si>
    <t>siphelo</t>
  </si>
  <si>
    <t>nathan</t>
  </si>
  <si>
    <t>J B</t>
  </si>
  <si>
    <t>POD received from cell 0683701964 M</t>
  </si>
  <si>
    <t xml:space="preserve">PLATIC T                      </t>
  </si>
  <si>
    <t>sagie</t>
  </si>
  <si>
    <t xml:space="preserve">RONNY                         </t>
  </si>
  <si>
    <t>UMHLA</t>
  </si>
  <si>
    <t>UMHLANGA ROCKS</t>
  </si>
  <si>
    <t xml:space="preserve">FILTEC AUTOMATION CC               </t>
  </si>
  <si>
    <t>FILTEC AUTOMATION CC</t>
  </si>
  <si>
    <t xml:space="preserve">nadem                         </t>
  </si>
  <si>
    <t xml:space="preserve">POD received from cell 0844020000 M     </t>
  </si>
  <si>
    <t xml:space="preserve">DANONE SOUTHERN AFRICA PTY LTD     </t>
  </si>
  <si>
    <t>DANONE SOUTHERN AFRICA PTY LTD</t>
  </si>
  <si>
    <t>stanley</t>
  </si>
  <si>
    <t>POD received from cell 0840403522 M</t>
  </si>
  <si>
    <t>KAWSIAN</t>
  </si>
  <si>
    <t>Wayne</t>
  </si>
  <si>
    <t xml:space="preserve">THE SOUTH AFRICA BREWERIES LTD     </t>
  </si>
  <si>
    <t>THE SOUTH AFRICA BREWERIES LTD</t>
  </si>
  <si>
    <t xml:space="preserve">SCAW SOUTH AFRICA PTY LTD          </t>
  </si>
  <si>
    <t>SCAW SOUTH AFRICA PTY LTD</t>
  </si>
  <si>
    <t>CAMPANY STAMP</t>
  </si>
  <si>
    <t>KINGW</t>
  </si>
  <si>
    <t>KINGWILLIAMSTOWN</t>
  </si>
  <si>
    <t xml:space="preserve">MA AUTOMOTIVE BERLIN (PTY) LTD     </t>
  </si>
  <si>
    <t>MA AUTOMOTIVE BERLIN  PTY  LTD</t>
  </si>
  <si>
    <t>Khanyiso</t>
  </si>
  <si>
    <t>NTOKOZO</t>
  </si>
  <si>
    <t>Cidney</t>
  </si>
  <si>
    <t>liam</t>
  </si>
  <si>
    <t>Noma</t>
  </si>
  <si>
    <t xml:space="preserve">tylon                         </t>
  </si>
  <si>
    <t xml:space="preserve">HAUTES TERRES D AFRIQUE CC T A     </t>
  </si>
  <si>
    <t>HAUTES TERRES D AFRIQUE CC T A</t>
  </si>
  <si>
    <t>Edwin</t>
  </si>
  <si>
    <t>POD received from cell 0616803324 M</t>
  </si>
  <si>
    <t>wifa</t>
  </si>
  <si>
    <t>Sindiswa</t>
  </si>
  <si>
    <t>POD received from cell 0638636636 M</t>
  </si>
  <si>
    <t>ATT:LAWRENCE REDDY-0836337059</t>
  </si>
  <si>
    <t>LAWRENCE REDDY</t>
  </si>
  <si>
    <t>ADRIAN BESTER</t>
  </si>
  <si>
    <t>FOR ATT:JABULANI @CS</t>
  </si>
  <si>
    <t>ROBBY</t>
  </si>
  <si>
    <t>STAND</t>
  </si>
  <si>
    <t>STANDERTON</t>
  </si>
  <si>
    <t xml:space="preserve">GERT SIBANDE TVET COLLEGE SKIL     </t>
  </si>
  <si>
    <t>GERT SIBANDE TVET COLLEGE SKIL</t>
  </si>
  <si>
    <t>thabo</t>
  </si>
  <si>
    <t>R SINGH</t>
  </si>
  <si>
    <t xml:space="preserve">SOUTHERN PULP MACHINERY PTY LT     </t>
  </si>
  <si>
    <t>SOUTHERN PULP MACHINERY</t>
  </si>
  <si>
    <t>riaan</t>
  </si>
  <si>
    <t>bianca</t>
  </si>
  <si>
    <t xml:space="preserve">keinta                        </t>
  </si>
  <si>
    <t xml:space="preserve">GAVIN                         </t>
  </si>
  <si>
    <t xml:space="preserve">POD received from cell 0748098262 M     </t>
  </si>
  <si>
    <t>PHALA</t>
  </si>
  <si>
    <t>PHALABORWA</t>
  </si>
  <si>
    <t xml:space="preserve">MINOPEX LIO PHALABORWA             </t>
  </si>
  <si>
    <t>MINOPEX LIO PHALABORWA</t>
  </si>
  <si>
    <t xml:space="preserve">johana                        </t>
  </si>
  <si>
    <t xml:space="preserve">POD received from cell 0714955146 M     </t>
  </si>
  <si>
    <t xml:space="preserve">simone                        </t>
  </si>
  <si>
    <t>golden</t>
  </si>
  <si>
    <t xml:space="preserve">CHW DESIGN CC                      </t>
  </si>
  <si>
    <t>CHW DESIGN CC</t>
  </si>
  <si>
    <t>NAPHTALY</t>
  </si>
  <si>
    <t>NGF</t>
  </si>
  <si>
    <t>POD received from cell 0842084217 M</t>
  </si>
  <si>
    <t>Johan</t>
  </si>
  <si>
    <t>mdm</t>
  </si>
  <si>
    <t>JOHNY</t>
  </si>
  <si>
    <t>POD received from cell 0732432786 M</t>
  </si>
  <si>
    <t>NICO</t>
  </si>
  <si>
    <t>rlin</t>
  </si>
  <si>
    <t>NIGEL</t>
  </si>
  <si>
    <t>lucky</t>
  </si>
  <si>
    <t>POD received from cell 0797647917 M</t>
  </si>
  <si>
    <t xml:space="preserve">DEFY APPLIANCES (PTY) LTD : AT     </t>
  </si>
  <si>
    <t>DEFY APPLIANCES  PTY  LTD   AT</t>
  </si>
  <si>
    <t>Simon</t>
  </si>
  <si>
    <t>POD received from cell 0677567310 M</t>
  </si>
  <si>
    <t>remile</t>
  </si>
  <si>
    <t>amos</t>
  </si>
  <si>
    <t>hamish</t>
  </si>
  <si>
    <t>grant</t>
  </si>
  <si>
    <t>GAVIN</t>
  </si>
  <si>
    <t>POD received from cell 0748098262 M</t>
  </si>
  <si>
    <t>Sphamantla</t>
  </si>
  <si>
    <t xml:space="preserve">PG BISON (PTY) LTD  ORDER NUMB     </t>
  </si>
  <si>
    <t>PG BISON  PTY  LTD  ORDER NUMB</t>
  </si>
  <si>
    <t>Joe</t>
  </si>
  <si>
    <t xml:space="preserve">UNILEVER SOUTH AFRICA (PTY) LT     </t>
  </si>
  <si>
    <t>UNILEVER SOUTH AFRICA  PTY  LT</t>
  </si>
  <si>
    <t>DANELLE</t>
  </si>
  <si>
    <t xml:space="preserve">VACUQUIP SOLUTIONS (PTY) LTD       </t>
  </si>
  <si>
    <t>VACUQUIP SOLUTIONS  PTY  LTD</t>
  </si>
  <si>
    <t>Chris</t>
  </si>
  <si>
    <t xml:space="preserve">MOVE ANALYTICS CC (FESTO DIREC     </t>
  </si>
  <si>
    <t xml:space="preserve">De Beers Group Services (Pty)      </t>
  </si>
  <si>
    <t>MAMAGER</t>
  </si>
  <si>
    <t>Redirect waybill on waybill number RR080</t>
  </si>
  <si>
    <t>SWELL</t>
  </si>
  <si>
    <t>SWELLENDAM</t>
  </si>
  <si>
    <t xml:space="preserve">AUTOMATION WORKS CAPE PTY LTD      </t>
  </si>
  <si>
    <t>AUTOMATION WORKS CAPE PTY LTD</t>
  </si>
  <si>
    <t>rensia</t>
  </si>
  <si>
    <t>MANAGER</t>
  </si>
  <si>
    <t xml:space="preserve">MARTIN   MARTIN PTY LTD            </t>
  </si>
  <si>
    <t>MARTIN   MARTIN</t>
  </si>
  <si>
    <t>Pamela</t>
  </si>
  <si>
    <t>phillip</t>
  </si>
  <si>
    <t>FESTO DURBAN  BLOCK 1</t>
  </si>
  <si>
    <t>mark</t>
  </si>
  <si>
    <t>elmarie</t>
  </si>
  <si>
    <t>Stanley</t>
  </si>
  <si>
    <t>F Roux</t>
  </si>
  <si>
    <t>POD received from cell 0827869932 M</t>
  </si>
  <si>
    <t xml:space="preserve">machaela                      </t>
  </si>
  <si>
    <t>elmanie</t>
  </si>
  <si>
    <t>tumelo</t>
  </si>
  <si>
    <t>Bheki</t>
  </si>
  <si>
    <t>rhemba</t>
  </si>
  <si>
    <t>Botha</t>
  </si>
  <si>
    <t>jeff</t>
  </si>
  <si>
    <t xml:space="preserve">G.U.D. HOLDINGS                    </t>
  </si>
  <si>
    <t>G.U.D. HOLDINGS</t>
  </si>
  <si>
    <t>hlengiwe</t>
  </si>
  <si>
    <t>vd nest</t>
  </si>
  <si>
    <t xml:space="preserve">HEIDELBERG GRAFIC SYSTEMS S.A      </t>
  </si>
  <si>
    <t>HEIDELBERG GRAFIC SYSTEMS S.A</t>
  </si>
  <si>
    <t>POD received from cell 0720364384 M</t>
  </si>
  <si>
    <t xml:space="preserve">DE BEERS SUPPLY CHAIN CENTER E     </t>
  </si>
  <si>
    <t>DE BEERS SUPPLY CHAIN CENTER E</t>
  </si>
  <si>
    <t>ALPHEUS</t>
  </si>
  <si>
    <t>Marcel</t>
  </si>
  <si>
    <t>super</t>
  </si>
  <si>
    <t xml:space="preserve">HOLLER TRADE CC MIDRAND            </t>
  </si>
  <si>
    <t>HOLLER TRADE CC MIDRAND</t>
  </si>
  <si>
    <t>VIVIAN</t>
  </si>
  <si>
    <t xml:space="preserve">DAVID                         </t>
  </si>
  <si>
    <t>KATLEGO</t>
  </si>
  <si>
    <t>HYDROMATIC T A HEADLINE TRADIN</t>
  </si>
  <si>
    <t>POD received from cell 0692490252 M</t>
  </si>
  <si>
    <t>THEMBA</t>
  </si>
  <si>
    <t xml:space="preserve">DEFY APPLIANCES (PTY) LTD LADY     </t>
  </si>
  <si>
    <t>DEFY APPLIANCES  PTY  LTD LADY</t>
  </si>
  <si>
    <t xml:space="preserve">RAPID INDUSTRIAL SUPPLIES PTY      </t>
  </si>
  <si>
    <t>RAPID INDUSTRIAL</t>
  </si>
  <si>
    <t>Nella</t>
  </si>
  <si>
    <t>Emily</t>
  </si>
  <si>
    <t>Oyame</t>
  </si>
  <si>
    <t>Mervin</t>
  </si>
  <si>
    <t>madleua</t>
  </si>
  <si>
    <t>JACO1</t>
  </si>
  <si>
    <t>JACOBS</t>
  </si>
  <si>
    <t xml:space="preserve">TROPIC PLASTIC   PACKAGING LTD     </t>
  </si>
  <si>
    <t>TROPIC PLASTIC   PACKAGING LTD</t>
  </si>
  <si>
    <t>abbas</t>
  </si>
  <si>
    <t>reevec</t>
  </si>
  <si>
    <t>Ramatsela</t>
  </si>
  <si>
    <t>eugene</t>
  </si>
  <si>
    <t xml:space="preserve">FIRST NATIONAL BATTERY BENONI      </t>
  </si>
  <si>
    <t>FIRST NATIONAL BATTERY BENONI</t>
  </si>
  <si>
    <t>S Mohapi</t>
  </si>
  <si>
    <t>Ashley</t>
  </si>
  <si>
    <t>FAUR1</t>
  </si>
  <si>
    <t>FAURE</t>
  </si>
  <si>
    <t xml:space="preserve">INDECON CC FIRGROVE                </t>
  </si>
  <si>
    <t>INDECON CC FIRGROVE</t>
  </si>
  <si>
    <t xml:space="preserve">niel                          </t>
  </si>
  <si>
    <t xml:space="preserve">POD received from cell 0673277989 M     </t>
  </si>
  <si>
    <t xml:space="preserve">Yanga - 1PARCEL DELIVERED NOT </t>
  </si>
  <si>
    <t xml:space="preserve">POD received from cell 0740914769 M     </t>
  </si>
  <si>
    <t>nelly</t>
  </si>
  <si>
    <t>RENEILWE</t>
  </si>
  <si>
    <t xml:space="preserve">TI AUTOMOTIVE FUEL SYSTEMS SOU     </t>
  </si>
  <si>
    <t>TI AUTOMOTIVE FUEL SYSTEMS SOU</t>
  </si>
  <si>
    <t>Regan</t>
  </si>
  <si>
    <t xml:space="preserve">BOCX                          </t>
  </si>
  <si>
    <t xml:space="preserve">A.M.D ROTOLOK                      </t>
  </si>
  <si>
    <t>A.M.D ROTOLOK</t>
  </si>
  <si>
    <t>Dumisani</t>
  </si>
  <si>
    <t>MIDD2</t>
  </si>
  <si>
    <t>MIDDELBURG (Mpumalanga)</t>
  </si>
  <si>
    <t xml:space="preserve">BIZ AFRIKA 925 (PTY) LTD           </t>
  </si>
  <si>
    <t>BIZ AFRIKA 925  PTY  LTD</t>
  </si>
  <si>
    <t>danel</t>
  </si>
  <si>
    <t>POD received from cell 0721074601 M</t>
  </si>
  <si>
    <t xml:space="preserve">PATRICK                       </t>
  </si>
  <si>
    <t xml:space="preserve">sipho                         </t>
  </si>
  <si>
    <t xml:space="preserve">POD received from cell 0620163857 M     </t>
  </si>
  <si>
    <t>lariette</t>
  </si>
  <si>
    <t>kgothatso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</si>
  <si>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</si>
  <si>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</si>
  <si>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</si>
  <si>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</si>
  <si>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</si>
  <si>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Niren                         </t>
  </si>
  <si>
    <t xml:space="preserve">POD received from cell 0782274968 M     </t>
  </si>
  <si>
    <t xml:space="preserve">STARKE INDUSTRIES CC               </t>
  </si>
  <si>
    <t>STARKE INDUSTRIES CC</t>
  </si>
  <si>
    <t>STEFAN</t>
  </si>
  <si>
    <t xml:space="preserve">GREIF S.A PTY LTD                  </t>
  </si>
  <si>
    <t>GREIF S.A PTY LTD</t>
  </si>
  <si>
    <t>WELCOME</t>
  </si>
  <si>
    <t xml:space="preserve">PBA SPARES (PTY) LTD               </t>
  </si>
  <si>
    <t>PBA SPARES  PTY  LTD</t>
  </si>
  <si>
    <t>MICHAEL</t>
  </si>
  <si>
    <t>Ayabulela</t>
  </si>
  <si>
    <t>HENNE</t>
  </si>
  <si>
    <t>HENNENMAN</t>
  </si>
  <si>
    <t xml:space="preserve">TIGER MILLING                      </t>
  </si>
  <si>
    <t>TIGER MILLING  INNOCENTIA 0711</t>
  </si>
  <si>
    <t>lindiwe</t>
  </si>
  <si>
    <t>POD received from cell 0695254585 M</t>
  </si>
  <si>
    <t>v d nest</t>
  </si>
  <si>
    <t>martin</t>
  </si>
  <si>
    <t xml:space="preserve">FOODCORP (PTY) LTD PRESIDENT B     </t>
  </si>
  <si>
    <t>FOODCORP  PTY  LTD PRESIDENT B</t>
  </si>
  <si>
    <t>MARNO</t>
  </si>
  <si>
    <t>hubert</t>
  </si>
  <si>
    <t>NAMPAK PRODUCTS</t>
  </si>
  <si>
    <t>sherilene</t>
  </si>
  <si>
    <t>CALED</t>
  </si>
  <si>
    <t>CALEDON</t>
  </si>
  <si>
    <t xml:space="preserve">THE SOUTH AFRICAN BREWERIES        </t>
  </si>
  <si>
    <t>chriszelda</t>
  </si>
  <si>
    <t>POD received from cell 062 522 7944 M</t>
  </si>
  <si>
    <t xml:space="preserve">FOSECO A DIV OF VESUVIUS SOUTH     </t>
  </si>
  <si>
    <t>FOSECO</t>
  </si>
  <si>
    <t>LWANE</t>
  </si>
  <si>
    <t xml:space="preserve">YVONNE                        </t>
  </si>
  <si>
    <t xml:space="preserve">MAHLE BEHR SOUTH AFRICA PTY LT     </t>
  </si>
  <si>
    <t>MAHLE BEHR S.A</t>
  </si>
  <si>
    <t>nokuthule</t>
  </si>
  <si>
    <t>avinash</t>
  </si>
  <si>
    <t>JONATHAN</t>
  </si>
  <si>
    <t xml:space="preserve">S.C JOHNSON   SON SA PTY LTD       </t>
  </si>
  <si>
    <t>S.C JOHNSON   SON SA PTY LTD</t>
  </si>
  <si>
    <t>REFILWE</t>
  </si>
  <si>
    <t xml:space="preserve">ERNEST LOWE A DIVISION OF HUDA     </t>
  </si>
  <si>
    <t>ERNEST LOWE A DIVISION OF HUDA</t>
  </si>
  <si>
    <t>chester</t>
  </si>
  <si>
    <t xml:space="preserve">SP AUTOMOTIVE PROFILE SCALING      </t>
  </si>
  <si>
    <t>SP AUTOMOTIVE PROFILE SCALING</t>
  </si>
  <si>
    <t>ROOKAYA</t>
  </si>
  <si>
    <t>randil</t>
  </si>
  <si>
    <t>samukelisiwe</t>
  </si>
  <si>
    <t>lutha</t>
  </si>
  <si>
    <t xml:space="preserve">ELECTRO - MECH SERVICES CC         </t>
  </si>
  <si>
    <t>ELECTRO - MECH SERVICES CC</t>
  </si>
  <si>
    <t>POD received from cell 0682118246 M</t>
  </si>
  <si>
    <t>UMKOM</t>
  </si>
  <si>
    <t>UMKOMAAS</t>
  </si>
  <si>
    <t xml:space="preserve">SAPPI GLOBAL BUSINESS SERVICES     </t>
  </si>
  <si>
    <t>SAPPI GLOBAL BUSINESS SERVICES</t>
  </si>
  <si>
    <t>ZANELE</t>
  </si>
  <si>
    <t xml:space="preserve">TECHNOGRAIN                        </t>
  </si>
  <si>
    <t>TECHNOGRAIN</t>
  </si>
  <si>
    <t>A Pizzocaro</t>
  </si>
  <si>
    <t>POD received from cell 0609545808 M</t>
  </si>
  <si>
    <t xml:space="preserve">Odendaal                      </t>
  </si>
  <si>
    <t>CARTH</t>
  </si>
  <si>
    <t xml:space="preserve">DCD PROTECTED MOBILITY A DIVIS     </t>
  </si>
  <si>
    <t>DCD PROTECTED MOBILITY A DIVIS</t>
  </si>
  <si>
    <t>JACK</t>
  </si>
  <si>
    <t xml:space="preserve">parcel                        </t>
  </si>
  <si>
    <t xml:space="preserve">Victory Electrical                 </t>
  </si>
  <si>
    <t>Kathleen</t>
  </si>
  <si>
    <t>Jemina</t>
  </si>
  <si>
    <t xml:space="preserve">ASPEN SA OPERATIONS ( PTY ) LT     </t>
  </si>
  <si>
    <t>ASPEN SA OPERATIONS   PTY   LT</t>
  </si>
  <si>
    <t>asiwe</t>
  </si>
  <si>
    <t>sindiswa</t>
  </si>
  <si>
    <t>POD received from cell 0697704006 M</t>
  </si>
  <si>
    <t xml:space="preserve">IDWALA INDUSTRIAL HOLDINGS LTD     </t>
  </si>
  <si>
    <t>IDWALA INDUSTRIAL HOLDINGS LTD</t>
  </si>
  <si>
    <t>VAZI</t>
  </si>
  <si>
    <t>zol</t>
  </si>
  <si>
    <t>Theo</t>
  </si>
  <si>
    <t xml:space="preserve">TECHMOULD PLAST CC                 </t>
  </si>
  <si>
    <t>TECHMOULD PLAST CC</t>
  </si>
  <si>
    <t>tarrin</t>
  </si>
  <si>
    <t>Piet</t>
  </si>
  <si>
    <t>POD received from cell 0728892773 M</t>
  </si>
  <si>
    <t>matebesi</t>
  </si>
  <si>
    <t>Zolani</t>
  </si>
  <si>
    <t xml:space="preserve">RCL FOODS CONSUMER                 </t>
  </si>
  <si>
    <t>RCL FOODS CONSUMER</t>
  </si>
  <si>
    <t>bongani</t>
  </si>
  <si>
    <t xml:space="preserve">HULAMIN OPERATIONS (PTY) LTD B     </t>
  </si>
  <si>
    <t>HULAMIN OPERATIONS  PTY  LTD B</t>
  </si>
  <si>
    <t xml:space="preserve">LIPTON TEAS AND INFUSION MANUF     </t>
  </si>
  <si>
    <t>LIPTON TEAS AND INFUSION MANUF</t>
  </si>
  <si>
    <t>sefo</t>
  </si>
  <si>
    <t>tsikelelo</t>
  </si>
  <si>
    <t>oral</t>
  </si>
  <si>
    <t>TSIANE</t>
  </si>
  <si>
    <t>Faeez</t>
  </si>
  <si>
    <t>ANDILE</t>
  </si>
  <si>
    <t xml:space="preserve">MITHRATECH SA PTY (LTD T A CHE     </t>
  </si>
  <si>
    <t>MITHRATECH SA PTY  LTD T A CHE</t>
  </si>
  <si>
    <t>selesta</t>
  </si>
  <si>
    <t>Needa</t>
  </si>
  <si>
    <t>POD received from cell 0676365649 M</t>
  </si>
  <si>
    <t>Danielle</t>
  </si>
  <si>
    <t xml:space="preserve">Mbona                         </t>
  </si>
  <si>
    <t xml:space="preserve">POD received from cell 0659386993 M     </t>
  </si>
  <si>
    <t xml:space="preserve">vd nest                       </t>
  </si>
  <si>
    <t xml:space="preserve">STANDIG (PTY) LTD                  </t>
  </si>
  <si>
    <t>STANDIG  PTY  LTD</t>
  </si>
  <si>
    <t>Xonica</t>
  </si>
  <si>
    <t>MDM</t>
  </si>
  <si>
    <t>ntokozo</t>
  </si>
  <si>
    <t>aston</t>
  </si>
  <si>
    <t>Vincent</t>
  </si>
  <si>
    <t>TSIAMO</t>
  </si>
  <si>
    <t>sipho</t>
  </si>
  <si>
    <t>hans</t>
  </si>
  <si>
    <t>nonto</t>
  </si>
  <si>
    <t>Lehlohonolo</t>
  </si>
  <si>
    <t>chase</t>
  </si>
  <si>
    <t>Changa</t>
  </si>
  <si>
    <t xml:space="preserve">BO                            </t>
  </si>
  <si>
    <t xml:space="preserve">FOODCORP (PTY) LTD T A SUNBAKE     </t>
  </si>
  <si>
    <t>FOODCORP  PTY  LTD T A SUNBAKE</t>
  </si>
  <si>
    <t>mahamud</t>
  </si>
  <si>
    <t>0300</t>
  </si>
  <si>
    <t>GRAHA</t>
  </si>
  <si>
    <t>GRAHAMSTOWN</t>
  </si>
  <si>
    <t xml:space="preserve">GRAHAMSTOWN BRICK PTY LTD T A      </t>
  </si>
  <si>
    <t>GRAHAMSTOWN BRICK PTY LTD</t>
  </si>
  <si>
    <t>lamia</t>
  </si>
  <si>
    <t>POD received from cell 0844433687 M</t>
  </si>
  <si>
    <t xml:space="preserve">nduduzo                       </t>
  </si>
  <si>
    <t xml:space="preserve">Heunis Steel                       </t>
  </si>
  <si>
    <t>Wilmarie</t>
  </si>
  <si>
    <t>Gift</t>
  </si>
  <si>
    <t>sgi</t>
  </si>
  <si>
    <t>patricia</t>
  </si>
  <si>
    <t xml:space="preserve">ITHEMBA LABS                       </t>
  </si>
  <si>
    <t>ITHEMBA LABS</t>
  </si>
  <si>
    <t xml:space="preserve">ISAACS                        </t>
  </si>
  <si>
    <t xml:space="preserve">POD received from cell 0637746166 M     </t>
  </si>
  <si>
    <t>COLLEN</t>
  </si>
  <si>
    <t xml:space="preserve">FLAVUIS MAREKA : ATTN: EUNICE      </t>
  </si>
  <si>
    <t>FLAVUIS MAREKA   ATTN  EUNICE</t>
  </si>
  <si>
    <t>EUNICE</t>
  </si>
  <si>
    <t xml:space="preserve">WOODEN C                      </t>
  </si>
  <si>
    <t xml:space="preserve">LOUISE KHAN                        </t>
  </si>
  <si>
    <t>0217611301 0720445840</t>
  </si>
  <si>
    <t>Leroy</t>
  </si>
  <si>
    <t>gwen</t>
  </si>
  <si>
    <t xml:space="preserve">DOUGLASDALE DAIRY PTY LTD          </t>
  </si>
  <si>
    <t>DOUGLASDALE DAIRY</t>
  </si>
  <si>
    <t>Rodney</t>
  </si>
  <si>
    <t>POD received from cell 0606555504 M</t>
  </si>
  <si>
    <t>SIMON</t>
  </si>
  <si>
    <t>SHIFT MANAGER</t>
  </si>
  <si>
    <t>FES CUST 20251009 51 - BACK TO CUSTOMER</t>
  </si>
  <si>
    <t xml:space="preserve">FESTO (MOVE ANALYTICS)             </t>
  </si>
  <si>
    <t>GIFT MASINGA</t>
  </si>
  <si>
    <t xml:space="preserve">SHIFT MANAGER                 </t>
  </si>
  <si>
    <t>DOC / DOC / FUE / INS</t>
  </si>
  <si>
    <t xml:space="preserve">FES CUST 20251009 52 - BACK TO CUSTOMER </t>
  </si>
  <si>
    <t>R Coetzee</t>
  </si>
  <si>
    <t>Abrams</t>
  </si>
  <si>
    <t xml:space="preserve">SILVER CONTROL SYSTEMS CC          </t>
  </si>
  <si>
    <t>SILVER CONTROL SYSTEMS CC</t>
  </si>
  <si>
    <t>s smar</t>
  </si>
  <si>
    <t>POD received from cell 0719539417 M</t>
  </si>
  <si>
    <t xml:space="preserve">1FLYER                        </t>
  </si>
  <si>
    <t xml:space="preserve">Samuel                        </t>
  </si>
  <si>
    <t xml:space="preserve">POD received from cell 0697291136 M     </t>
  </si>
  <si>
    <t>slindile</t>
  </si>
  <si>
    <t>kezley</t>
  </si>
  <si>
    <t>Merlin</t>
  </si>
  <si>
    <t>UDO</t>
  </si>
  <si>
    <t>HOPE</t>
  </si>
  <si>
    <t xml:space="preserve">TOYOTA BOSHOKU SOUTH AFRICA PT     </t>
  </si>
  <si>
    <t>TOYOTA BOSHOKU SOUTH AFRICA PT</t>
  </si>
  <si>
    <t>Bongi</t>
  </si>
  <si>
    <t xml:space="preserve">KIMBERLY CLARK S.A                 </t>
  </si>
  <si>
    <t>KIMBERLY CLARK S.A</t>
  </si>
  <si>
    <t xml:space="preserve">ELECTROSALES ELECTRICAL            </t>
  </si>
  <si>
    <t>ELECTROSALES ELECTRICAL</t>
  </si>
  <si>
    <t>jacqui</t>
  </si>
  <si>
    <t>babalwa</t>
  </si>
  <si>
    <t xml:space="preserve">FOXOLUTION SYSTEMS ENGINEERING     </t>
  </si>
  <si>
    <t>FOXOLUTION SYSTEMS ENGINEERING</t>
  </si>
  <si>
    <t>POD received from cell 0735647467 M</t>
  </si>
  <si>
    <t>emmeth</t>
  </si>
  <si>
    <t xml:space="preserve">HUHTAMAKI DIV FLEXIBLE             </t>
  </si>
  <si>
    <t>HUHTAMAKI DIV FLEXIBLE</t>
  </si>
  <si>
    <t>puntsu</t>
  </si>
  <si>
    <t>POD received from cell 0636621831 M</t>
  </si>
  <si>
    <t xml:space="preserve">SEALED AIR AFRICA (PTY) LTD        </t>
  </si>
  <si>
    <t>SEALED AIR AFRICA  PTY  LTD</t>
  </si>
  <si>
    <t>Thapello</t>
  </si>
  <si>
    <t xml:space="preserve">C   M HYDRAULIC SERVICES           </t>
  </si>
  <si>
    <t>C   M HYDRAULIC SERVICES</t>
  </si>
  <si>
    <t>hester</t>
  </si>
  <si>
    <t xml:space="preserve">INNOVATIVE WATER CARE SA HOLDI     </t>
  </si>
  <si>
    <t>INNOVATIVE WATER CARE SA HOLDI</t>
  </si>
  <si>
    <t>Sizwe</t>
  </si>
  <si>
    <t xml:space="preserve">LYCOPODIUM MARINE   MODULAR MO     </t>
  </si>
  <si>
    <t>LYCOPODIUM MARINE   MODULAR MO</t>
  </si>
  <si>
    <t>Candice</t>
  </si>
  <si>
    <t>deon</t>
  </si>
  <si>
    <t xml:space="preserve">SIYAPHAMBILI INDUSTRIAL   TRAD     </t>
  </si>
  <si>
    <t>SIYAPHAMBILI INDUSTRIAL   TRAD</t>
  </si>
  <si>
    <t>strini</t>
  </si>
  <si>
    <t>POD received from cell 0843672221 M</t>
  </si>
  <si>
    <t>neli</t>
  </si>
  <si>
    <t xml:space="preserve">PRIMO HOLDINGS                     </t>
  </si>
  <si>
    <t>PRIMO HOLDINGS</t>
  </si>
  <si>
    <t>melisa</t>
  </si>
  <si>
    <t>anathi</t>
  </si>
  <si>
    <t xml:space="preserve">Astratek                           </t>
  </si>
  <si>
    <t>leanne</t>
  </si>
  <si>
    <t>POD received from cell 0794447355 M</t>
  </si>
  <si>
    <t xml:space="preserve">BOXES                         </t>
  </si>
  <si>
    <t xml:space="preserve">sikholise                     </t>
  </si>
  <si>
    <t>elan</t>
  </si>
  <si>
    <t>AYANDA</t>
  </si>
  <si>
    <t>Makayla</t>
  </si>
  <si>
    <t>yirem</t>
  </si>
  <si>
    <t xml:space="preserve">ACK SOLUTIONS PTY LTD              </t>
  </si>
  <si>
    <t>ACK SOLUTIONS PTY LTD</t>
  </si>
  <si>
    <t>R Lodewyk</t>
  </si>
  <si>
    <t xml:space="preserve">FLYTER                        </t>
  </si>
  <si>
    <t xml:space="preserve">INGRAIN SA (PTY) LTD RANDVAAL      </t>
  </si>
  <si>
    <t>INGRAIN SA  PTY  LTD RANDVAAL</t>
  </si>
  <si>
    <t>samson</t>
  </si>
  <si>
    <t>POD received from cell 0791970159 M</t>
  </si>
  <si>
    <t>sinazo</t>
  </si>
  <si>
    <t>patrick</t>
  </si>
  <si>
    <t>Sous</t>
  </si>
  <si>
    <t xml:space="preserve">ELECTROWARE INDUSTRIAL SUPPLIE     </t>
  </si>
  <si>
    <t>ELECTROWARE INDUSTRIAL SUPPLIE</t>
  </si>
  <si>
    <t>Jacob</t>
  </si>
  <si>
    <t>POD received from cell 0711711010 M</t>
  </si>
  <si>
    <t xml:space="preserve">PAARL PNEUMATICS CC                </t>
  </si>
  <si>
    <t>PAARL PNEUMATICS CC</t>
  </si>
  <si>
    <t>Randall</t>
  </si>
  <si>
    <t>POD received from cell 0737996477 M</t>
  </si>
  <si>
    <t>Respect</t>
  </si>
  <si>
    <t xml:space="preserve">REBUS INDUSTRIAL CONTROLS          </t>
  </si>
  <si>
    <t>REBUS INDUSTRIAL CONTROLS</t>
  </si>
  <si>
    <t>Jaco</t>
  </si>
  <si>
    <t xml:space="preserve">SPERO SENSORS   INSTRUMENTS (P     </t>
  </si>
  <si>
    <t>SPERO SENSORS   INSTRUMENTS  P</t>
  </si>
  <si>
    <t>MUSA</t>
  </si>
  <si>
    <t>0154</t>
  </si>
  <si>
    <t>natasha</t>
  </si>
  <si>
    <t>lorence</t>
  </si>
  <si>
    <t xml:space="preserve">mndebele                      </t>
  </si>
  <si>
    <t xml:space="preserve">POD received from cell 0766391926 M     </t>
  </si>
  <si>
    <t>shida</t>
  </si>
  <si>
    <t>JUH</t>
  </si>
  <si>
    <t xml:space="preserve">MA AUTOMOTIVE TOOL   DIE  (PTY     </t>
  </si>
  <si>
    <t>MA AUTOMOTIVE TOOL   DIE   PTY</t>
  </si>
  <si>
    <t>AARON</t>
  </si>
  <si>
    <t xml:space="preserve">TRUDA FOODS (PTY) LTD              </t>
  </si>
  <si>
    <t>TRUDA FOODS  PTY  LTD</t>
  </si>
  <si>
    <t>chiezo</t>
  </si>
  <si>
    <t xml:space="preserve">FINLAR FINE FOODS ADO LIBSTAR      </t>
  </si>
  <si>
    <t>FINLAR FINE FOODS ADO LIBSTAR</t>
  </si>
  <si>
    <t>kabelo</t>
  </si>
  <si>
    <t xml:space="preserve">SAR ELECTRONIC SA (PTY) LTD        </t>
  </si>
  <si>
    <t>SAR ELECTRONIC SA  PTY  LTD</t>
  </si>
  <si>
    <t>KEVIN</t>
  </si>
  <si>
    <t>thabani</t>
  </si>
  <si>
    <t>DAULTON</t>
  </si>
  <si>
    <t xml:space="preserve">J.J PRECISION PLASTICS (PTY) L     </t>
  </si>
  <si>
    <t>J.J PRECISION PLASTICS  PTY  L</t>
  </si>
  <si>
    <t>SILAH</t>
  </si>
  <si>
    <t xml:space="preserve">lovers                        </t>
  </si>
  <si>
    <t xml:space="preserve">POD received from cell 0794077267 M     </t>
  </si>
  <si>
    <t>WESTO</t>
  </si>
  <si>
    <t>WESTONARIA</t>
  </si>
  <si>
    <t xml:space="preserve">TECROVEER 9PTY) LTD GLENHARVIE     </t>
  </si>
  <si>
    <t>TECROVEER 9PTY  LTD GLENHARVIE</t>
  </si>
  <si>
    <t>Janre Smit</t>
  </si>
  <si>
    <t>POD received from cell 0844748643 M</t>
  </si>
  <si>
    <t xml:space="preserve">FREDDY HIRSCH   CO MONTAGUE GA     </t>
  </si>
  <si>
    <t>FREDDY HIRSCH   CO MONTAGUE GA</t>
  </si>
  <si>
    <t>patsy</t>
  </si>
  <si>
    <t xml:space="preserve">ZF Lemforder SA                    </t>
  </si>
  <si>
    <t>Lunathi Manxusa</t>
  </si>
  <si>
    <t xml:space="preserve">Ladysmith Trading                  </t>
  </si>
  <si>
    <t>Shaista</t>
  </si>
  <si>
    <t xml:space="preserve">Gift                          </t>
  </si>
  <si>
    <t>Danae Franken</t>
  </si>
  <si>
    <t>NATASHA</t>
  </si>
  <si>
    <t xml:space="preserve">EXXARO COAL-GROOTGELUK ELLISRA     </t>
  </si>
  <si>
    <t>EXXARO COAL-GROOTGELUK ELLISRA</t>
  </si>
  <si>
    <t>Hellen</t>
  </si>
  <si>
    <t>Belinda</t>
  </si>
  <si>
    <t>GRANT</t>
  </si>
  <si>
    <t xml:space="preserve">Cameron                       </t>
  </si>
  <si>
    <t xml:space="preserve">POD received from cell 0622930487 M     </t>
  </si>
  <si>
    <t xml:space="preserve">AMKA PRODUCTS MANUFACTURERS        </t>
  </si>
  <si>
    <t>AMKA PRODUCTS MANUFACTURERS</t>
  </si>
  <si>
    <t>SHAN</t>
  </si>
  <si>
    <t>0309045536088</t>
  </si>
  <si>
    <t>Incorrect route allocation</t>
  </si>
  <si>
    <t>danielle</t>
  </si>
  <si>
    <t>POD received from cell 0793098518 M</t>
  </si>
  <si>
    <t xml:space="preserve">nontokozo                     </t>
  </si>
  <si>
    <t>naw</t>
  </si>
  <si>
    <t>Olivia</t>
  </si>
  <si>
    <t>DOC / FUE</t>
  </si>
  <si>
    <t>POD received from cell 0685210458 M</t>
  </si>
  <si>
    <t xml:space="preserve">SASOL CHEMICALS A DIVISION OF      </t>
  </si>
  <si>
    <t>SASOL CHEMICALS A DIVISION OF</t>
  </si>
  <si>
    <t xml:space="preserve">talita                        </t>
  </si>
  <si>
    <t xml:space="preserve">POD received from cell 0781810800 M     </t>
  </si>
  <si>
    <t>DANIEL</t>
  </si>
  <si>
    <t xml:space="preserve">Olivia                        </t>
  </si>
  <si>
    <t xml:space="preserve">POD received from cell 0685210458 M     </t>
  </si>
  <si>
    <t>DIRK</t>
  </si>
  <si>
    <t xml:space="preserve">FILTAQUIP (PTY)LTD DIE HEUWEL      </t>
  </si>
  <si>
    <t>FILTAQUIP  PTY LTD DIE HEUWEL</t>
  </si>
  <si>
    <t>L Bezuidenhout</t>
  </si>
  <si>
    <t>POD received from cell 0793866786 M</t>
  </si>
  <si>
    <t>bertha</t>
  </si>
  <si>
    <t>TONGA</t>
  </si>
  <si>
    <t>TONGAAT</t>
  </si>
  <si>
    <t xml:space="preserve">TONGAAT HULETT SUGAR FELIXTON      </t>
  </si>
  <si>
    <t>TONGAAT HULETT SUGAR FELIXTON</t>
  </si>
  <si>
    <t xml:space="preserve">Vincent                       </t>
  </si>
  <si>
    <t xml:space="preserve">POD received from cell 0847863055 M     </t>
  </si>
  <si>
    <t>Sylvester</t>
  </si>
  <si>
    <t>NANDIPHA</t>
  </si>
  <si>
    <t xml:space="preserve">Warrick                       </t>
  </si>
  <si>
    <t xml:space="preserve">YANFENG INTERNATIONAL AUTOMOTI     </t>
  </si>
  <si>
    <t>YANFENG INTERNATIONAL AUTOMATI</t>
  </si>
  <si>
    <t>nkosikhona</t>
  </si>
  <si>
    <t xml:space="preserve">sandile                       </t>
  </si>
  <si>
    <t xml:space="preserve">POD received from cell 0633530723 M     </t>
  </si>
  <si>
    <t xml:space="preserve">DURR AFRICA PTY LTD CORPORATE      </t>
  </si>
  <si>
    <t>DURR AFRICA</t>
  </si>
  <si>
    <t>B Sale</t>
  </si>
  <si>
    <t>PETER</t>
  </si>
  <si>
    <t xml:space="preserve">ENGLER OILESS PTY LTD              </t>
  </si>
  <si>
    <t>ENGLER OILESS PTY LTD</t>
  </si>
  <si>
    <t>Olwetu</t>
  </si>
  <si>
    <t>MARCELL</t>
  </si>
  <si>
    <t>Joshua</t>
  </si>
  <si>
    <t>japhtar</t>
  </si>
  <si>
    <t>POD received from cell 0631087032 M</t>
  </si>
  <si>
    <t xml:space="preserve">ATC INNOVATION (PTY) LTD AUTOM     </t>
  </si>
  <si>
    <t>ATC INNOVATION  PTY  LTD AUTOM</t>
  </si>
  <si>
    <t>HEIDI</t>
  </si>
  <si>
    <t xml:space="preserve">BOX: CON                      </t>
  </si>
  <si>
    <t xml:space="preserve">EAST RAND HYDRAULIC                </t>
  </si>
  <si>
    <t>EAST RAND HYDRAULIC</t>
  </si>
  <si>
    <t>asif</t>
  </si>
  <si>
    <t xml:space="preserve">DE BEERS GROUP SERVICES            </t>
  </si>
  <si>
    <t>DE BEERS GROUP SERVICES</t>
  </si>
  <si>
    <t xml:space="preserve">Siya                          </t>
  </si>
  <si>
    <t>makayla</t>
  </si>
  <si>
    <t>Yanga</t>
  </si>
  <si>
    <t>emeth</t>
  </si>
  <si>
    <t xml:space="preserve">LÓREAL MANUFACTURING PTY LTD       </t>
  </si>
  <si>
    <t>LÓREAL MANUFACTURING</t>
  </si>
  <si>
    <t>Ruben</t>
  </si>
  <si>
    <t>nandipha</t>
  </si>
  <si>
    <t>SELBY</t>
  </si>
  <si>
    <t>0400</t>
  </si>
  <si>
    <t>Lawrence</t>
  </si>
  <si>
    <t>nico</t>
  </si>
  <si>
    <t xml:space="preserve">ANG INDUSTRIAL SOLUTIONS PTY 2     </t>
  </si>
  <si>
    <t>ANG INDUSTRIAL SOLUTIONS PTY 2</t>
  </si>
  <si>
    <t xml:space="preserve">BRANDLINE PACKAGING (PTY) LTD      </t>
  </si>
  <si>
    <t>BRANDLINE PACKAGING  PTY  LTD</t>
  </si>
  <si>
    <t>MALIBONGWE</t>
  </si>
  <si>
    <t>ANDRE</t>
  </si>
  <si>
    <t>qui</t>
  </si>
  <si>
    <t xml:space="preserve">PROGETTO INTERNATIONAL             </t>
  </si>
  <si>
    <t>PROGETTO INTERNATIONAL</t>
  </si>
  <si>
    <t>mveselo</t>
  </si>
  <si>
    <t xml:space="preserve">sbongiseni                    </t>
  </si>
  <si>
    <t xml:space="preserve">SAR Electronic                     </t>
  </si>
  <si>
    <t>Wolfgang Geiger</t>
  </si>
  <si>
    <t>changa</t>
  </si>
  <si>
    <t xml:space="preserve">CHEMLINK SA (PTY) LTD              </t>
  </si>
  <si>
    <t>CHEMLINK SA  PTY  LTD</t>
  </si>
  <si>
    <t>kyle</t>
  </si>
  <si>
    <t xml:space="preserve">MARLEY SA PTY LTD                  </t>
  </si>
  <si>
    <t>MARLEY SA PTY LTD</t>
  </si>
  <si>
    <t xml:space="preserve">SIMON                         </t>
  </si>
  <si>
    <t xml:space="preserve">CBZ SOLUTIONS (PTY) LTD            </t>
  </si>
  <si>
    <t>CBZ SOLUTIONS  PTY  LTD</t>
  </si>
  <si>
    <t>Dakalo</t>
  </si>
  <si>
    <t>Lerato</t>
  </si>
  <si>
    <t>lamiw</t>
  </si>
  <si>
    <t xml:space="preserve">A Steffens                    </t>
  </si>
  <si>
    <t xml:space="preserve">POD received from cell 0662882525 M     </t>
  </si>
  <si>
    <t>blose</t>
  </si>
  <si>
    <t>THOMAS</t>
  </si>
  <si>
    <t>quanton</t>
  </si>
  <si>
    <t>Ben</t>
  </si>
  <si>
    <t>MERIAM</t>
  </si>
  <si>
    <t>Collen</t>
  </si>
  <si>
    <t xml:space="preserve">Skevi                         </t>
  </si>
  <si>
    <t xml:space="preserve">POD received from cell 0612301350 M     </t>
  </si>
  <si>
    <t>THABANI</t>
  </si>
  <si>
    <t>thabang</t>
  </si>
  <si>
    <t>POD received from cell 0679017498 M</t>
  </si>
  <si>
    <t xml:space="preserve">RFG FOODS (PTY) LTD FRANKENWAL     </t>
  </si>
  <si>
    <t>RFG FOODS  PTY  LTD FRANKENWAL</t>
  </si>
  <si>
    <t xml:space="preserve">lindo                         </t>
  </si>
  <si>
    <t xml:space="preserve">POD received from cell 0766412100 M     </t>
  </si>
  <si>
    <t xml:space="preserve">JOHN BEAN TECHNOLOGIES (PTY) L     </t>
  </si>
  <si>
    <t>JOHN BEAN TECHNOLOGIES  PTY  L</t>
  </si>
  <si>
    <t>Mary</t>
  </si>
  <si>
    <t xml:space="preserve">SCOTT BADER (PTY) LTD              </t>
  </si>
  <si>
    <t>SCOTT BADER  PTY  LTD</t>
  </si>
  <si>
    <t>nomus</t>
  </si>
  <si>
    <t>KGAUGELO</t>
  </si>
  <si>
    <t>GERTS</t>
  </si>
  <si>
    <t>okita</t>
  </si>
  <si>
    <t>theo</t>
  </si>
  <si>
    <t>SAMMY</t>
  </si>
  <si>
    <t>DANELL</t>
  </si>
  <si>
    <t xml:space="preserve">MCG INDUSTRIAL PTY LTD             </t>
  </si>
  <si>
    <t>MCG INDUSTRIAL PTY LTD</t>
  </si>
  <si>
    <t>POD received from cell 0810203149 M</t>
  </si>
  <si>
    <t>LINDELANI</t>
  </si>
  <si>
    <t>Foster</t>
  </si>
  <si>
    <t xml:space="preserve">FOODCORP  PTY  LTD                 </t>
  </si>
  <si>
    <t>FOODCORP  PTY  LTD</t>
  </si>
  <si>
    <t>SHAWN</t>
  </si>
  <si>
    <t xml:space="preserve">MEXAN PRODUCTS (PTY) LTD           </t>
  </si>
  <si>
    <t>MEXAN PRODUCTS  PTY  LTD</t>
  </si>
  <si>
    <t>Diya</t>
  </si>
  <si>
    <t>Angie</t>
  </si>
  <si>
    <t>lundi</t>
  </si>
  <si>
    <t>hayi</t>
  </si>
  <si>
    <t xml:space="preserve">PNEUSTREAM                         </t>
  </si>
  <si>
    <t>PNEUSTREAM</t>
  </si>
  <si>
    <t>SARA</t>
  </si>
  <si>
    <t xml:space="preserve">Nella                         </t>
  </si>
  <si>
    <t>robert</t>
  </si>
  <si>
    <t>Bad address</t>
  </si>
  <si>
    <t xml:space="preserve">POLIMATRIX S.A                     </t>
  </si>
  <si>
    <t>POLIMATRIX S.A</t>
  </si>
  <si>
    <t xml:space="preserve">SPICER AXLE PTY LTD                </t>
  </si>
  <si>
    <t>SPICER AXLE PTY LTD</t>
  </si>
  <si>
    <t>marelize</t>
  </si>
  <si>
    <t>medwin</t>
  </si>
  <si>
    <t>SHAM</t>
  </si>
  <si>
    <t>zenzele</t>
  </si>
  <si>
    <t>POD received from cell 0648430182 M</t>
  </si>
  <si>
    <t xml:space="preserve">elin                          </t>
  </si>
  <si>
    <t xml:space="preserve">Johnson                       </t>
  </si>
  <si>
    <t xml:space="preserve">CATER CHAIN FOOD SERVICES          </t>
  </si>
  <si>
    <t>CATER CHAIN FOOD SERVICES</t>
  </si>
  <si>
    <t xml:space="preserve">LUFUNO                        </t>
  </si>
  <si>
    <t xml:space="preserve">TIGER BRANDS SNACKS   TREATS       </t>
  </si>
  <si>
    <t>TIGER BRANDS SNACKS   TREATS</t>
  </si>
  <si>
    <t>kishen</t>
  </si>
  <si>
    <t>NTM</t>
  </si>
  <si>
    <t>KOOS</t>
  </si>
  <si>
    <t xml:space="preserve">CIRCUIT INDUSTRIAL SUPPLIES (P     </t>
  </si>
  <si>
    <t>CIRCUIT INDUSTRIAL SUPPLIES  P</t>
  </si>
  <si>
    <t>MORNE</t>
  </si>
  <si>
    <t>POD received from cell 0679501146 M</t>
  </si>
  <si>
    <t xml:space="preserve">LACTALIS SOUTH AFRICA PTY LTD      </t>
  </si>
  <si>
    <t>LACTALIS SOUTH AFRICA PTY LTD</t>
  </si>
  <si>
    <t>VUSUMUSI</t>
  </si>
  <si>
    <t>0407</t>
  </si>
  <si>
    <t>mphikeleli</t>
  </si>
  <si>
    <t xml:space="preserve">Lisa                          </t>
  </si>
  <si>
    <t>TZANE</t>
  </si>
  <si>
    <t>TZANEEN</t>
  </si>
  <si>
    <t xml:space="preserve">MERENSKY TIMBER PTY LTD T A NO     </t>
  </si>
  <si>
    <t>MERENSKY</t>
  </si>
  <si>
    <t>Ahunathafi</t>
  </si>
  <si>
    <t>ptm</t>
  </si>
  <si>
    <t>POD received from cell 0826747638 M</t>
  </si>
  <si>
    <t>0850</t>
  </si>
  <si>
    <t>BEN</t>
  </si>
  <si>
    <t>Ashwin</t>
  </si>
  <si>
    <t>Irma Nel</t>
  </si>
  <si>
    <t>philiphine</t>
  </si>
  <si>
    <t xml:space="preserve">PIONEER FOODS (PTY) LTD T A SA     </t>
  </si>
  <si>
    <t>PIONEER FOODS  PTY  LTD T A SA</t>
  </si>
  <si>
    <t>Rethabile</t>
  </si>
  <si>
    <t xml:space="preserve">CONTINENTAL BISCUITS PTY LTD       </t>
  </si>
  <si>
    <t>CONTINENTAL BISCUITS PTY LTD</t>
  </si>
  <si>
    <t>Nomandla</t>
  </si>
  <si>
    <t xml:space="preserve">tess                          </t>
  </si>
  <si>
    <t xml:space="preserve">POD received from cell 0614531552 M     </t>
  </si>
  <si>
    <t xml:space="preserve">Dakalo                        </t>
  </si>
  <si>
    <t>BLOE1</t>
  </si>
  <si>
    <t>BLOEMFONTEIN</t>
  </si>
  <si>
    <t xml:space="preserve">CLOVER S.A PTY LTD                 </t>
  </si>
  <si>
    <t>CLOVER S.A PTY LTD</t>
  </si>
  <si>
    <t>the</t>
  </si>
  <si>
    <t>POD received from cell 0753228614 M</t>
  </si>
  <si>
    <t xml:space="preserve">CAPE GATE (PTY) LTD                </t>
  </si>
  <si>
    <t>CAPE GATE  PTY  LTD</t>
  </si>
  <si>
    <t>T J KEELE</t>
  </si>
  <si>
    <t xml:space="preserve">BRITS BAG MANUFACTURING (PTY)      </t>
  </si>
  <si>
    <t>BRITS BAG MANUFACTURING  PTY</t>
  </si>
  <si>
    <t>Amos</t>
  </si>
  <si>
    <t>clifton</t>
  </si>
  <si>
    <t>hlompo</t>
  </si>
  <si>
    <t xml:space="preserve">amis                          </t>
  </si>
  <si>
    <t xml:space="preserve">trevor                        </t>
  </si>
  <si>
    <t>POD received from cell 0610992550 M</t>
  </si>
  <si>
    <t xml:space="preserve">mzwakhe                       </t>
  </si>
  <si>
    <t xml:space="preserve">POD received from cell 0606746779 M     </t>
  </si>
  <si>
    <t xml:space="preserve">OPMOBILITY C POWER SA (PTY) LT     </t>
  </si>
  <si>
    <t>OPMOBILITY C POWER SA  PTY  LT</t>
  </si>
  <si>
    <t>Keitumetse</t>
  </si>
  <si>
    <t>Virginia</t>
  </si>
  <si>
    <t>rethabile</t>
  </si>
  <si>
    <t xml:space="preserve">ME ELECMETAL PRIMA MANUFACTURI     </t>
  </si>
  <si>
    <t>ME ELECMETAL PRIMA MANUFACTURI</t>
  </si>
  <si>
    <t>meagan</t>
  </si>
  <si>
    <t>MERRIAM</t>
  </si>
  <si>
    <t xml:space="preserve">YNF ENGINEERING ANVIL RD ISAND     </t>
  </si>
  <si>
    <t>YNF ENGINEERING ANVIL RD ISAND</t>
  </si>
  <si>
    <t xml:space="preserve">Emanuel                       </t>
  </si>
  <si>
    <t xml:space="preserve">THEMBA                        </t>
  </si>
  <si>
    <t>BETHUEL</t>
  </si>
  <si>
    <t xml:space="preserve">CYLINDER                      </t>
  </si>
  <si>
    <t>Bathe la</t>
  </si>
  <si>
    <t xml:space="preserve">	CYLINDE                      </t>
  </si>
  <si>
    <t>jonathan</t>
  </si>
  <si>
    <t>thapelo</t>
  </si>
  <si>
    <t>PENNY</t>
  </si>
  <si>
    <t>se mndebele</t>
  </si>
  <si>
    <t>POD received from cell 0645575004 M</t>
  </si>
  <si>
    <t xml:space="preserve">Cindy                         </t>
  </si>
  <si>
    <t xml:space="preserve">amos                          </t>
  </si>
  <si>
    <t>hopewell</t>
  </si>
  <si>
    <t>STANG</t>
  </si>
  <si>
    <t>STANGER</t>
  </si>
  <si>
    <t xml:space="preserve">SAPPI SOUTHERN AFRICA              </t>
  </si>
  <si>
    <t>SAPPI SOUTHERN AFRICA</t>
  </si>
  <si>
    <t xml:space="preserve">d pillay                      </t>
  </si>
  <si>
    <t xml:space="preserve">POD received from cell 0814411638 M     </t>
  </si>
  <si>
    <t xml:space="preserve">THE SIMBA GROUP LTD ANDRE GREY     </t>
  </si>
  <si>
    <t>THE SIMBA GROUP LTD ANDRE GREY</t>
  </si>
  <si>
    <t xml:space="preserve">Victor                        </t>
  </si>
  <si>
    <t xml:space="preserve">Musiziwe                      </t>
  </si>
  <si>
    <t xml:space="preserve">TRANSNET ENGINEERING-KOEDOESPO     </t>
  </si>
  <si>
    <t>TRANSNET ENGINEERING-KOEDOESPO</t>
  </si>
  <si>
    <t>SESHEGO</t>
  </si>
  <si>
    <t xml:space="preserve">JUDY                          </t>
  </si>
  <si>
    <t>paulos</t>
  </si>
  <si>
    <t xml:space="preserve">KEVIN                         </t>
  </si>
  <si>
    <t>Gwen</t>
  </si>
  <si>
    <t>ALEX</t>
  </si>
  <si>
    <t xml:space="preserve">Renny                         </t>
  </si>
  <si>
    <t xml:space="preserve">Chandre                       </t>
  </si>
  <si>
    <t xml:space="preserve">POD received from cell 0728834171 M     </t>
  </si>
  <si>
    <t xml:space="preserve">AUTOCAST NON-FERROUS (PTY) LTD     </t>
  </si>
  <si>
    <t>AUTOCAST NON-FERROUS  PTY  LTD</t>
  </si>
  <si>
    <t>Ashraf</t>
  </si>
  <si>
    <t xml:space="preserve">PAKPAL (PTY) LTD BRONKHORSTSTP     </t>
  </si>
  <si>
    <t>PAKPAL  PTY  LTD BRONKHORSTSTP</t>
  </si>
  <si>
    <t>JEFFREY</t>
  </si>
  <si>
    <t>talit</t>
  </si>
  <si>
    <t>Mbali</t>
  </si>
  <si>
    <t xml:space="preserve">FACTORY AUTOMATION AND ENGINEE     </t>
  </si>
  <si>
    <t>FACTORY AUTOMATION AND ENGINEE</t>
  </si>
  <si>
    <t>FES CUST 20251014 52 - BACK TO CUSTOMER</t>
  </si>
  <si>
    <t>0017</t>
  </si>
  <si>
    <t>FES CUST 20251014 51 - BACK TO CUSTOMER</t>
  </si>
  <si>
    <t>ASHLEIGH</t>
  </si>
  <si>
    <t>Lona</t>
  </si>
  <si>
    <t xml:space="preserve">DC AUTO-MOTION SUNNYROCK           </t>
  </si>
  <si>
    <t>DC AUTO-MOTION SUNNYROCK</t>
  </si>
  <si>
    <t>Jeanri</t>
  </si>
  <si>
    <t>POD received from cell 0687876733 M</t>
  </si>
  <si>
    <t xml:space="preserve">CLOVER SA (PTY) LTD                </t>
  </si>
  <si>
    <t>CLOVER SA  PTY  LTD</t>
  </si>
  <si>
    <t>frank</t>
  </si>
  <si>
    <t xml:space="preserve">PREMIER FMCG PTY LTD               </t>
  </si>
  <si>
    <t>PREMIER FMCG</t>
  </si>
  <si>
    <t>DOERIEYAH</t>
  </si>
  <si>
    <t>POD received from cell 0764958693 M</t>
  </si>
  <si>
    <t xml:space="preserve">PACEL                         </t>
  </si>
  <si>
    <t>Oral</t>
  </si>
  <si>
    <t>Themba</t>
  </si>
  <si>
    <t>george</t>
  </si>
  <si>
    <t xml:space="preserve">TIGER BRANDS SNACKS  TREATS        </t>
  </si>
  <si>
    <t>TIGER BRANDS SNACKS  TREATS</t>
  </si>
  <si>
    <t>mauu</t>
  </si>
  <si>
    <t>jallen</t>
  </si>
  <si>
    <t xml:space="preserve">VERSATILE CONTAINER HANDLING P     </t>
  </si>
  <si>
    <t>VERSATILE CONTAINER HANDLING P</t>
  </si>
  <si>
    <t>H Finlayson</t>
  </si>
  <si>
    <t>Simon radebe</t>
  </si>
  <si>
    <t>POD received from cell 0662487525 M</t>
  </si>
  <si>
    <t xml:space="preserve">CTP PRINTERS JOHANNESBURG          </t>
  </si>
  <si>
    <t>CTP PRINTERS JOHANNESBURG</t>
  </si>
  <si>
    <t>Adol</t>
  </si>
  <si>
    <t>KOAS</t>
  </si>
  <si>
    <t>SUSARA</t>
  </si>
  <si>
    <t xml:space="preserve">lamie                         </t>
  </si>
  <si>
    <t xml:space="preserve">POD received from cell 0714971272 M     </t>
  </si>
  <si>
    <t xml:space="preserve">SAPPI SOUTHERN AFRICA LIMITED      </t>
  </si>
  <si>
    <t xml:space="preserve">D Pillay                      </t>
  </si>
  <si>
    <t xml:space="preserve">POD received from cell 0724697510 M     </t>
  </si>
  <si>
    <t>fanie</t>
  </si>
  <si>
    <t>siya</t>
  </si>
  <si>
    <t xml:space="preserve">ALPINE INSTRUMENTS                 </t>
  </si>
  <si>
    <t>ALPINE INSTRUMENTS</t>
  </si>
  <si>
    <t>makaylin</t>
  </si>
  <si>
    <t>PIET2</t>
  </si>
  <si>
    <t>PIETERSBURG</t>
  </si>
  <si>
    <t>Violet</t>
  </si>
  <si>
    <t>POD received from cell 0795513816 M</t>
  </si>
  <si>
    <t>0700</t>
  </si>
  <si>
    <t>Colin</t>
  </si>
  <si>
    <t>CALVIN</t>
  </si>
  <si>
    <t>obed</t>
  </si>
  <si>
    <t xml:space="preserve">nonkulelko                    </t>
  </si>
  <si>
    <t>BRAAM</t>
  </si>
  <si>
    <t>Leanne</t>
  </si>
  <si>
    <t>rob</t>
  </si>
  <si>
    <t>deez</t>
  </si>
  <si>
    <t>Asanda</t>
  </si>
  <si>
    <t>hilnar</t>
  </si>
  <si>
    <t xml:space="preserve">SOUTHGATE ELECTRICAL WHOLESALE     </t>
  </si>
  <si>
    <t>SOUTHGATE ELECTRICAL WHOLESALE</t>
  </si>
  <si>
    <t>liberty sithole</t>
  </si>
  <si>
    <t>yvonne</t>
  </si>
  <si>
    <t xml:space="preserve">ELECTRAHERTZ PTA                   </t>
  </si>
  <si>
    <t>ELECTRAHERTZ PTA</t>
  </si>
  <si>
    <t>KABELO</t>
  </si>
  <si>
    <t>Frans</t>
  </si>
  <si>
    <t>PORTIA</t>
  </si>
  <si>
    <t>0105105106089</t>
  </si>
  <si>
    <t>0127</t>
  </si>
  <si>
    <t>z sefali</t>
  </si>
  <si>
    <t xml:space="preserve">ADCOCK INGRAM CRITICAL CARE        </t>
  </si>
  <si>
    <t>ADCOCK INGRAM CRITICAL CARE</t>
  </si>
  <si>
    <t xml:space="preserve">UNIVERSITY OF STELLENBOSCH         </t>
  </si>
  <si>
    <t>UNIVERSITY OF STELLENBOSCH</t>
  </si>
  <si>
    <t>chelsia</t>
  </si>
  <si>
    <t xml:space="preserve">POLYOAK PACKAGING (PTY) LTD KZ     </t>
  </si>
  <si>
    <t>POLYOAK PACKAGING  PTY  LTD KZ</t>
  </si>
  <si>
    <t xml:space="preserve">nosipho                       </t>
  </si>
  <si>
    <t>Spha</t>
  </si>
  <si>
    <t>DULTON</t>
  </si>
  <si>
    <t xml:space="preserve">AECI                               </t>
  </si>
  <si>
    <t xml:space="preserve">LUMEC                              </t>
  </si>
  <si>
    <t>DRIVER TO PLEASE CALL MATHEWS MATAU 0604768177 IF HE HAS A P</t>
  </si>
  <si>
    <t>LUKE BERGLAR</t>
  </si>
  <si>
    <t>MATTHEWS MATAU</t>
  </si>
  <si>
    <t xml:space="preserve">luke                          </t>
  </si>
  <si>
    <t xml:space="preserve">Sunny Packs Man                    </t>
  </si>
  <si>
    <t>Lucille</t>
  </si>
  <si>
    <t xml:space="preserve">LINDELANI                     </t>
  </si>
  <si>
    <t>MARTIN</t>
  </si>
  <si>
    <t xml:space="preserve">ACTIVE ENTERPRISES CC              </t>
  </si>
  <si>
    <t>ACTIVE ENTERPRISES CC</t>
  </si>
  <si>
    <t>QUINTON</t>
  </si>
  <si>
    <t xml:space="preserve">avinash                       </t>
  </si>
  <si>
    <t xml:space="preserve">POD received from cell 0747980518 M     </t>
  </si>
  <si>
    <t xml:space="preserve">DETNET SOUTH AFRICA (PTY) LTD      </t>
  </si>
  <si>
    <t>DETNET SOUTH AFRICA  PTY  LTD</t>
  </si>
  <si>
    <t>mpho</t>
  </si>
  <si>
    <t>Emanuel</t>
  </si>
  <si>
    <t>GLEWN</t>
  </si>
  <si>
    <t xml:space="preserve">ZETES (PTY) LTD POMONA             </t>
  </si>
  <si>
    <t>ZETES  PTY  LTD JET POMONA</t>
  </si>
  <si>
    <t>Princess</t>
  </si>
  <si>
    <t>B Jordan</t>
  </si>
  <si>
    <t>WICKUS</t>
  </si>
  <si>
    <t>NNS</t>
  </si>
  <si>
    <t xml:space="preserve">B E CONFERENCE CENTRE NEWTON P     </t>
  </si>
  <si>
    <t>B E CONFERENCE CENTRE NEWTON P</t>
  </si>
  <si>
    <t>keisha-leigh</t>
  </si>
  <si>
    <t xml:space="preserve">NAMPAK LTD. DIVFOOD EPPING         </t>
  </si>
  <si>
    <t>NAMPAK LTD. DIVFOOD EPPING</t>
  </si>
  <si>
    <t>R Ross</t>
  </si>
  <si>
    <t>Seeb</t>
  </si>
  <si>
    <t xml:space="preserve">TRELLIDOR BUILDING  FESTO TRAI     </t>
  </si>
  <si>
    <t>TRELLIDOR BUILDING  FESTO TRAI</t>
  </si>
  <si>
    <t xml:space="preserve">gift                          </t>
  </si>
  <si>
    <t xml:space="preserve">SUPREME PROCESSING (PTY) LTD G     </t>
  </si>
  <si>
    <t>SUPREME PROCESSING  PTY  LTD G</t>
  </si>
  <si>
    <t xml:space="preserve">NOMSA                         </t>
  </si>
  <si>
    <t xml:space="preserve">POD received from cell 0736687669 M     </t>
  </si>
  <si>
    <t xml:space="preserve">hopeWELL                      </t>
  </si>
  <si>
    <t>thamba</t>
  </si>
  <si>
    <t xml:space="preserve">hope we ll                    </t>
  </si>
  <si>
    <t>philipine</t>
  </si>
  <si>
    <t xml:space="preserve">ADITIV SOLUTIONS                   </t>
  </si>
  <si>
    <t>ADITIV SOLUTIONS</t>
  </si>
  <si>
    <t>PEET</t>
  </si>
  <si>
    <t xml:space="preserve">BAY AUTOMATION (PTY) LTD WILLO     </t>
  </si>
  <si>
    <t>BAY AUTOMATION  PTY  LTD  WILL</t>
  </si>
  <si>
    <t>BILLY</t>
  </si>
  <si>
    <t>Maria</t>
  </si>
  <si>
    <t>mary</t>
  </si>
  <si>
    <t xml:space="preserve">BELSIZE PRINTING WORKS (PTY) A     </t>
  </si>
  <si>
    <t>BELSIZE PRINTING WORKS  PTY  A</t>
  </si>
  <si>
    <t>Rabin</t>
  </si>
  <si>
    <t>ENOCK</t>
  </si>
  <si>
    <t>FESTO (Move Analytics)</t>
  </si>
  <si>
    <t>Neville</t>
  </si>
  <si>
    <t xml:space="preserve">CROWN CHICKENS T A SOVEREIGHFO     </t>
  </si>
  <si>
    <t>CROWN CHICKENS</t>
  </si>
  <si>
    <t>DICHABA</t>
  </si>
  <si>
    <t xml:space="preserve">SAR ELECTRONIC SA (PTY) LTD NO     </t>
  </si>
  <si>
    <t>SAR ELECTRONIC SA  PTY  LTD NO</t>
  </si>
  <si>
    <t>jeandre</t>
  </si>
  <si>
    <t>rolesh</t>
  </si>
  <si>
    <t>fceture</t>
  </si>
  <si>
    <t>Jonathan</t>
  </si>
  <si>
    <t xml:space="preserve">UNILEVER SOUTH AFRICA              </t>
  </si>
  <si>
    <t>siyanela</t>
  </si>
  <si>
    <t xml:space="preserve">Alan                          </t>
  </si>
  <si>
    <t xml:space="preserve">POD received from cell 0711711010 M     </t>
  </si>
  <si>
    <t xml:space="preserve">DE BEERS GROUP SERVICES (PTY)      </t>
  </si>
  <si>
    <t>DE BEERS GROUP SERVICES  PTY</t>
  </si>
  <si>
    <t>annalise</t>
  </si>
  <si>
    <t>renier</t>
  </si>
  <si>
    <t xml:space="preserve">Brent                         </t>
  </si>
  <si>
    <t xml:space="preserve">POD received from cell 0739570238 M     </t>
  </si>
  <si>
    <t>Karabo</t>
  </si>
  <si>
    <t>louisa</t>
  </si>
  <si>
    <t>M Naidoo</t>
  </si>
  <si>
    <t xml:space="preserve">SIYA                          </t>
  </si>
  <si>
    <t>Andre</t>
  </si>
  <si>
    <t xml:space="preserve">QUALITEC ENGINEERING CC            </t>
  </si>
  <si>
    <t>QUALITEC ENGINEERING CC</t>
  </si>
  <si>
    <t>Gilbert</t>
  </si>
  <si>
    <t>vigril</t>
  </si>
  <si>
    <t xml:space="preserve">Blom TM                       </t>
  </si>
  <si>
    <t xml:space="preserve">POD received from cell 0764112218 M     </t>
  </si>
  <si>
    <t xml:space="preserve">bongani                       </t>
  </si>
  <si>
    <t xml:space="preserve">POD received from cell 0827869932 M     </t>
  </si>
  <si>
    <t>CHARLDEN</t>
  </si>
  <si>
    <t xml:space="preserve">IDWALA CARBONATES DIV -IDWALA      </t>
  </si>
  <si>
    <t>IDWALA CARBONATES DIV -IDWALA</t>
  </si>
  <si>
    <t>konish</t>
  </si>
  <si>
    <t>POD received from cell 0663869424 M</t>
  </si>
  <si>
    <t>f nel</t>
  </si>
  <si>
    <t>POD received from cell 0827630425 M</t>
  </si>
  <si>
    <t>BETHL</t>
  </si>
  <si>
    <t>BETHLEHEM</t>
  </si>
  <si>
    <t xml:space="preserve">BUILD IT                           </t>
  </si>
  <si>
    <t>BUILD IT</t>
  </si>
  <si>
    <t>POD received from cell 0713010915 M</t>
  </si>
  <si>
    <t xml:space="preserve">AECI (PTY) LTD BELLVILLE SOUTH     </t>
  </si>
  <si>
    <t>AECI  PTY  LTD BELLVILLE SOUTH</t>
  </si>
  <si>
    <t xml:space="preserve">Returned to sender on waybill </t>
  </si>
  <si>
    <t>Clinton</t>
  </si>
  <si>
    <t>POD received from cell 0842317420 M</t>
  </si>
  <si>
    <t xml:space="preserve">Nelly                         </t>
  </si>
  <si>
    <t xml:space="preserve">POD received from cell 0633442020 M     </t>
  </si>
  <si>
    <t>madueua</t>
  </si>
  <si>
    <t xml:space="preserve">AFRICA CONTROL   INSTRUMENTATI     </t>
  </si>
  <si>
    <t>AFRICA CONTROL   INSTRUMENTATI</t>
  </si>
  <si>
    <t>AFRICA CONTROL   INSTRUMENT  A</t>
  </si>
  <si>
    <t>POD received from cell 0673302997 M</t>
  </si>
  <si>
    <t>venessa</t>
  </si>
  <si>
    <t>esrten</t>
  </si>
  <si>
    <t>Danae</t>
  </si>
  <si>
    <t xml:space="preserve">Entyce Tea                         </t>
  </si>
  <si>
    <t>Vukani</t>
  </si>
  <si>
    <t xml:space="preserve">Standig                            </t>
  </si>
  <si>
    <t>AJ Fourie</t>
  </si>
  <si>
    <t>thabiso</t>
  </si>
  <si>
    <t xml:space="preserve">VC AUTOMATION AND INDUSTRIAL C     </t>
  </si>
  <si>
    <t>VC AUTOMATION AND INDUSTRIAL C</t>
  </si>
  <si>
    <t>Tiaan Nortje</t>
  </si>
  <si>
    <t>POD received from cell 07661756410 M</t>
  </si>
  <si>
    <t xml:space="preserve">CB PNEUMATICS PTY LTD              </t>
  </si>
  <si>
    <t>CB PNEUMATICS PTY LTD</t>
  </si>
  <si>
    <t>Bruno</t>
  </si>
  <si>
    <t>UPING</t>
  </si>
  <si>
    <t>UPINGTON</t>
  </si>
  <si>
    <t xml:space="preserve">REFERRO SYSTEMS UPINGTON           </t>
  </si>
  <si>
    <t>REFERRO SYSTEMS UPINGTON</t>
  </si>
  <si>
    <t>Hold for Collection</t>
  </si>
  <si>
    <t>cib</t>
  </si>
  <si>
    <t xml:space="preserve">MECHANICAL CONCEPTS CC             </t>
  </si>
  <si>
    <t>MECHANICAL CONCEPTS CC</t>
  </si>
  <si>
    <t xml:space="preserve">Rofhiwa                       </t>
  </si>
  <si>
    <t>colin</t>
  </si>
  <si>
    <t>POD received from cell 0820669074 M</t>
  </si>
  <si>
    <t>reiette</t>
  </si>
  <si>
    <t>BEVERLY</t>
  </si>
  <si>
    <t xml:space="preserve">NEO                           </t>
  </si>
  <si>
    <t>noluthando</t>
  </si>
  <si>
    <t>POD received from cell 0736924422 M</t>
  </si>
  <si>
    <t>whitney</t>
  </si>
  <si>
    <t xml:space="preserve">stanley                       </t>
  </si>
  <si>
    <t xml:space="preserve">VUYO                          </t>
  </si>
  <si>
    <t xml:space="preserve">POLYOAK PACKAGING PTY LTD          </t>
  </si>
  <si>
    <t>POLYOAK PACKAGING PTY LTD</t>
  </si>
  <si>
    <t>Bytel</t>
  </si>
  <si>
    <t xml:space="preserve">NATIONAL BIOPRODUCTS INSTITUTE     </t>
  </si>
  <si>
    <t>NATIONAL BIOPRODUCTS INSTITUTE</t>
  </si>
  <si>
    <t>ricco</t>
  </si>
  <si>
    <t>Francis</t>
  </si>
  <si>
    <t>POD received from cell 0761439478 M</t>
  </si>
  <si>
    <t>K MOLOTA</t>
  </si>
  <si>
    <t xml:space="preserve">Gavin                         </t>
  </si>
  <si>
    <t xml:space="preserve">POD received from cell 0671392487 M     </t>
  </si>
  <si>
    <t xml:space="preserve">WATCH TOWER SOCIETY                </t>
  </si>
  <si>
    <t>WATCH TOWER SOCIETY</t>
  </si>
  <si>
    <t>thando</t>
  </si>
  <si>
    <t>POD received from cell 0672290812 M</t>
  </si>
  <si>
    <t>POTGI</t>
  </si>
  <si>
    <t>POTGIETERSRUS</t>
  </si>
  <si>
    <t xml:space="preserve">QUATRO PACK CC                     </t>
  </si>
  <si>
    <t>QUATRO PACK CC</t>
  </si>
  <si>
    <t>anita</t>
  </si>
  <si>
    <t>liv</t>
  </si>
  <si>
    <t>0601</t>
  </si>
  <si>
    <t xml:space="preserve">PSA TECHNOLOGY GROUP PTY LTD E     </t>
  </si>
  <si>
    <t>PSA TECHNOLOGY GROUP PTY LTD E</t>
  </si>
  <si>
    <t>Richard</t>
  </si>
  <si>
    <t>mohamed</t>
  </si>
  <si>
    <t>KARABO</t>
  </si>
  <si>
    <t>moferefere</t>
  </si>
  <si>
    <t>Monique</t>
  </si>
  <si>
    <t xml:space="preserve">UMICORE CATALYST SA (PTY( LTD      </t>
  </si>
  <si>
    <t>UMICORE CATALYST SA  PTY  LTD</t>
  </si>
  <si>
    <t>janie</t>
  </si>
  <si>
    <t xml:space="preserve">Mary                          </t>
  </si>
  <si>
    <t xml:space="preserve">POD received from cell 0650974645 M     </t>
  </si>
  <si>
    <t>devi</t>
  </si>
  <si>
    <t>wiseman</t>
  </si>
  <si>
    <t xml:space="preserve">TOYAOTA SA MOTORS                  </t>
  </si>
  <si>
    <t>TOYOTA SA MOTORS  PTY</t>
  </si>
  <si>
    <t>RANJITH</t>
  </si>
  <si>
    <t>mervin</t>
  </si>
  <si>
    <t>Africa</t>
  </si>
  <si>
    <t>R BAKER</t>
  </si>
  <si>
    <t>dolly</t>
  </si>
  <si>
    <t>Mduduzi</t>
  </si>
  <si>
    <t>Vernon</t>
  </si>
  <si>
    <t>D Pillay</t>
  </si>
  <si>
    <t>POD received from cell 0724697510 M</t>
  </si>
  <si>
    <t xml:space="preserve">TRUDA FOODS (PTY) LTD EPPING I     </t>
  </si>
  <si>
    <t>TRUDA FOODS  PTY  LTD EPPING I</t>
  </si>
  <si>
    <t>Micheal  V</t>
  </si>
  <si>
    <t xml:space="preserve">Simphiwe                      </t>
  </si>
  <si>
    <t xml:space="preserve">CONTROL SYSTEMS RUSTENBURG         </t>
  </si>
  <si>
    <t>CONTROL SYSTEMS RUSTENBURG</t>
  </si>
  <si>
    <t>maelze</t>
  </si>
  <si>
    <t>Vusi</t>
  </si>
  <si>
    <t>zollen</t>
  </si>
  <si>
    <t>JERRY</t>
  </si>
  <si>
    <t xml:space="preserve">RCL GROUP SERVICES PTY LTD         </t>
  </si>
  <si>
    <t>RCL GROUP SERVICES PTY LTD</t>
  </si>
  <si>
    <t xml:space="preserve">PRIME INSTRUMENTATION CC RUSTE     </t>
  </si>
  <si>
    <t>PRIME INSTRUMENTATION CC RUSTE</t>
  </si>
  <si>
    <t>albert</t>
  </si>
  <si>
    <t xml:space="preserve">Ziyanda                       </t>
  </si>
  <si>
    <t>POD received from cell 0747406106 M</t>
  </si>
  <si>
    <t>Appointment required</t>
  </si>
  <si>
    <t>Beverly</t>
  </si>
  <si>
    <t>mbongeni</t>
  </si>
  <si>
    <t xml:space="preserve">ESKORT MEAT HEIDELBERG             </t>
  </si>
  <si>
    <t>ESKORT MEAT HEIDELBERG</t>
  </si>
  <si>
    <t>sirioa</t>
  </si>
  <si>
    <t>Malubekho</t>
  </si>
  <si>
    <t>Remile</t>
  </si>
  <si>
    <t xml:space="preserve">ENPROTEC ENVIROMENTAL   PROCES     </t>
  </si>
  <si>
    <t>ENPROTEC ENVIROMENTAL   PROCES</t>
  </si>
  <si>
    <t>?</t>
  </si>
  <si>
    <t xml:space="preserve">POLAR ICE CREAM EPPING INDUSTR     </t>
  </si>
  <si>
    <t>POLAR ICE CREAM EPPING INDUSTR</t>
  </si>
  <si>
    <t>Darrin</t>
  </si>
  <si>
    <t xml:space="preserve">MICRODENT TECHNOLOGIES             </t>
  </si>
  <si>
    <t>MICRODENT TECHNOLOGIES</t>
  </si>
  <si>
    <t>ZANDER</t>
  </si>
  <si>
    <t>0181</t>
  </si>
  <si>
    <t xml:space="preserve">Trevor                        </t>
  </si>
  <si>
    <t xml:space="preserve">INTABA HEAVY INDUSTRIAL SUPPLI     </t>
  </si>
  <si>
    <t>INTABA HEAVY INDUSTRIAL SUPPLI</t>
  </si>
  <si>
    <t xml:space="preserve">Heinrich                      </t>
  </si>
  <si>
    <t>Arthur</t>
  </si>
  <si>
    <t xml:space="preserve">Lathan                        </t>
  </si>
  <si>
    <t xml:space="preserve">JOHN BEAN TECHNOLOGIES PTY LTD     </t>
  </si>
  <si>
    <t>JOHN BEAN TECHNOLOGIES PTY LTD</t>
  </si>
  <si>
    <t>lwazi</t>
  </si>
  <si>
    <t>zweli</t>
  </si>
  <si>
    <t>zandile</t>
  </si>
  <si>
    <t>Ayanda</t>
  </si>
  <si>
    <t xml:space="preserve">HIGHLAND VALVES CARIBBEAN BEAC     </t>
  </si>
  <si>
    <t>HIGHLAND VALVES CARIBBEAN BEAC</t>
  </si>
  <si>
    <t>Hopton</t>
  </si>
  <si>
    <t>0261</t>
  </si>
  <si>
    <t xml:space="preserve">BUTTERFL                      </t>
  </si>
  <si>
    <t xml:space="preserve">jarelle                       </t>
  </si>
  <si>
    <t>MIKE MIKE</t>
  </si>
  <si>
    <t xml:space="preserve">Thomas                        </t>
  </si>
  <si>
    <t xml:space="preserve">kerish                        </t>
  </si>
  <si>
    <t xml:space="preserve">POD received from cell 0663869424 M     </t>
  </si>
  <si>
    <t xml:space="preserve">MECHATRONICS SOUTH AFRICA MIMO     </t>
  </si>
  <si>
    <t>MECHATRONICS MIMOSA ROAD</t>
  </si>
  <si>
    <t xml:space="preserve">Esther                        </t>
  </si>
  <si>
    <t xml:space="preserve">080068460531                            </t>
  </si>
  <si>
    <t>j b e</t>
  </si>
  <si>
    <t>POD received from cell 0732547403 M</t>
  </si>
  <si>
    <t xml:space="preserve">THERMITEC CC                       </t>
  </si>
  <si>
    <t>THERMITEC CC</t>
  </si>
  <si>
    <t>PATIENCE</t>
  </si>
  <si>
    <t xml:space="preserve">Clifford Machines                  </t>
  </si>
  <si>
    <t>Samjeev</t>
  </si>
  <si>
    <t xml:space="preserve">Hydraulic   Pneumatics             </t>
  </si>
  <si>
    <t>PLEASE COLLECT BY 4PM</t>
  </si>
  <si>
    <t>Adam</t>
  </si>
  <si>
    <t>FOR ATT MARCUS GERICKE</t>
  </si>
  <si>
    <t xml:space="preserve">FESTO PE                           </t>
  </si>
  <si>
    <t>KEENAN COVERLY</t>
  </si>
  <si>
    <t>j steyn</t>
  </si>
  <si>
    <t>CONTROL SYSTEMS RUSTENBUR</t>
  </si>
  <si>
    <t>Innocentia</t>
  </si>
  <si>
    <t>RCL FOODS CONSUMER  PTY</t>
  </si>
  <si>
    <t xml:space="preserve">mogomotsi                     </t>
  </si>
  <si>
    <t xml:space="preserve">POD received from cell 0647443659 M     </t>
  </si>
  <si>
    <t>KARAN BEEF PTY LTD ORDER</t>
  </si>
  <si>
    <t xml:space="preserve">Ben                           </t>
  </si>
  <si>
    <t xml:space="preserve">POD received from cell 0606968550 M     </t>
  </si>
  <si>
    <t>Archile</t>
  </si>
  <si>
    <t>POD received from cell 0722601650 M</t>
  </si>
  <si>
    <t xml:space="preserve">COIS ELEKTRIES MIDDELBURG          </t>
  </si>
  <si>
    <t>COIS ELEKTRIES MIDDELBURG</t>
  </si>
  <si>
    <t>Sarah  MTHIMUNYE</t>
  </si>
  <si>
    <t>POD received from cell 0629697187 M</t>
  </si>
  <si>
    <t>MCCAIN FOODS SOUTH AFRICA</t>
  </si>
  <si>
    <t xml:space="preserve">marcu                         </t>
  </si>
  <si>
    <t xml:space="preserve">marco                         </t>
  </si>
  <si>
    <t>siphiwe</t>
  </si>
  <si>
    <t>MARCU</t>
  </si>
  <si>
    <t>brain</t>
  </si>
  <si>
    <t>STAND BA</t>
  </si>
  <si>
    <t>Estern</t>
  </si>
  <si>
    <t>abish</t>
  </si>
  <si>
    <t>LEHLOHONOLO</t>
  </si>
  <si>
    <t>calvern</t>
  </si>
  <si>
    <t xml:space="preserve">CTP PRINTERS CAPE TOWN             </t>
  </si>
  <si>
    <t>CTP PRINTERS CAPE TOWN</t>
  </si>
  <si>
    <t xml:space="preserve">Dawn                          </t>
  </si>
  <si>
    <t xml:space="preserve">POD received from cell 0737996477 M     </t>
  </si>
  <si>
    <t>chledza</t>
  </si>
  <si>
    <t xml:space="preserve">CALIBRE LIFE SCIENCE (PTY) LTD     </t>
  </si>
  <si>
    <t>CALIBRE LIFE SCIENCE  PTY  LTD</t>
  </si>
  <si>
    <t xml:space="preserve">delia                         </t>
  </si>
  <si>
    <t>taj</t>
  </si>
  <si>
    <t>crdnjp</t>
  </si>
  <si>
    <t>Johnson</t>
  </si>
  <si>
    <t>JONH</t>
  </si>
  <si>
    <t>Glen</t>
  </si>
  <si>
    <t>Sami</t>
  </si>
  <si>
    <t>POD received from cell 0846301490 M</t>
  </si>
  <si>
    <t xml:space="preserve">zaolmzi                       </t>
  </si>
  <si>
    <t>NTOMBELA</t>
  </si>
  <si>
    <t xml:space="preserve">MATO PRODUCTS (PTY) LTD            </t>
  </si>
  <si>
    <t>MATO PRODUCTS  PTY  LTD</t>
  </si>
  <si>
    <t>Takalani</t>
  </si>
  <si>
    <t>kea</t>
  </si>
  <si>
    <t xml:space="preserve">ILLOVO SUGAR SOUTH AFRICA (PTY     </t>
  </si>
  <si>
    <t>ILLOVO SUGAR SOUTH AFRICA  PTY</t>
  </si>
  <si>
    <t>kevin</t>
  </si>
  <si>
    <t>POD received from cell 0844020000 M</t>
  </si>
  <si>
    <t xml:space="preserve">Kevin                         </t>
  </si>
  <si>
    <t>Boikie</t>
  </si>
  <si>
    <t>Keenan</t>
  </si>
  <si>
    <t xml:space="preserve">Gifty Sibande                 </t>
  </si>
  <si>
    <t xml:space="preserve">POD received from cell 0603223659 M     </t>
  </si>
  <si>
    <t xml:space="preserve">VAAL FLUID SYSTEMS SA (PTY) LT     </t>
  </si>
  <si>
    <t>VAAL FLUID SYSTEMS SA  PTY  LT</t>
  </si>
  <si>
    <t>POD received from cell 0658000098 M</t>
  </si>
  <si>
    <t>LEPOTA</t>
  </si>
  <si>
    <t>tes</t>
  </si>
  <si>
    <t>ZOLANI</t>
  </si>
  <si>
    <t>Paris</t>
  </si>
  <si>
    <t>temoso</t>
  </si>
  <si>
    <t>tallen</t>
  </si>
  <si>
    <t xml:space="preserve">Aden                          </t>
  </si>
  <si>
    <t>Anele</t>
  </si>
  <si>
    <t xml:space="preserve">TC SMELTERS PTY LTD                </t>
  </si>
  <si>
    <t>TC SMELTERS PTY LTD</t>
  </si>
  <si>
    <t>0325</t>
  </si>
  <si>
    <t>Wavhutali</t>
  </si>
  <si>
    <t>petrus</t>
  </si>
  <si>
    <t>Busiswa</t>
  </si>
  <si>
    <t xml:space="preserve">Tamaryn                       </t>
  </si>
  <si>
    <t xml:space="preserve">POD received from cell 0792230061 M     </t>
  </si>
  <si>
    <t>vincent</t>
  </si>
  <si>
    <t xml:space="preserve">mark                          </t>
  </si>
  <si>
    <t xml:space="preserve">UNIQUE DAIRY PRODUCTS (PTY) LT     </t>
  </si>
  <si>
    <t>UNIQUE DAIRY PRODUCTS  PTY  LT</t>
  </si>
  <si>
    <t>GLORIA</t>
  </si>
  <si>
    <t xml:space="preserve">ISANDO FOODS (PTY) LTD             </t>
  </si>
  <si>
    <t>ISANDO FOODS  PTY  LTD</t>
  </si>
  <si>
    <t>Portia</t>
  </si>
  <si>
    <t>nbali</t>
  </si>
  <si>
    <t>amin</t>
  </si>
  <si>
    <t xml:space="preserve">isaac                         </t>
  </si>
  <si>
    <t xml:space="preserve">POD received from cell 0727759089 M     </t>
  </si>
  <si>
    <t>NOKUTHULA</t>
  </si>
  <si>
    <t>tramain</t>
  </si>
  <si>
    <t>POD received from cell 0662478807 M</t>
  </si>
  <si>
    <t>xolani</t>
  </si>
  <si>
    <t xml:space="preserve">FESTO DURBAN: ATTN MARK THOMPS     </t>
  </si>
  <si>
    <t>FESTO DURBAN  ATTN MARK THOMPS</t>
  </si>
  <si>
    <t>EROL</t>
  </si>
  <si>
    <t xml:space="preserve">STEEL CA                      </t>
  </si>
  <si>
    <t>CERES</t>
  </si>
  <si>
    <t xml:space="preserve">CERES FRUIT GROWERS OPERATIONS     </t>
  </si>
  <si>
    <t>CERES FRUIT GROWERS OPERATIONS</t>
  </si>
  <si>
    <t xml:space="preserve">Nicole                        </t>
  </si>
  <si>
    <t xml:space="preserve">POD received from cell 0797182636 M     </t>
  </si>
  <si>
    <t xml:space="preserve">BUYHUB (PTY) LTD                   </t>
  </si>
  <si>
    <t>BUYHUB  PTY  LTD</t>
  </si>
  <si>
    <t>creg</t>
  </si>
  <si>
    <t>Giovanni</t>
  </si>
  <si>
    <t>POD received from cell 0827336813 M</t>
  </si>
  <si>
    <t xml:space="preserve">SGS PROJECTS   INSTRUMENTS (PT     </t>
  </si>
  <si>
    <t>SGS PROJECTS   INSTRUMENTS  PT</t>
  </si>
  <si>
    <t xml:space="preserve">A Duncan                      </t>
  </si>
  <si>
    <t xml:space="preserve">POD received from cell 0760485275 M     </t>
  </si>
  <si>
    <t>REUBEN</t>
  </si>
  <si>
    <t xml:space="preserve">AUTO INDUSTRIAL MACHINING  A D     </t>
  </si>
  <si>
    <t>AUTO INDUSTRIAL MACHINING</t>
  </si>
  <si>
    <t xml:space="preserve">PRODUCTIVE ENGINEERING CC          </t>
  </si>
  <si>
    <t>PRODUCTIVE ENGINEERING CC</t>
  </si>
  <si>
    <t xml:space="preserve">s lon                         </t>
  </si>
  <si>
    <t xml:space="preserve">KERRY INGREDIENTS                  </t>
  </si>
  <si>
    <t>KERRY INGREDIENTS</t>
  </si>
  <si>
    <t>pretty</t>
  </si>
  <si>
    <t>bandile</t>
  </si>
  <si>
    <t>tellerz</t>
  </si>
  <si>
    <t xml:space="preserve">kezley                        </t>
  </si>
  <si>
    <t>CAMBRIDGE</t>
  </si>
  <si>
    <t xml:space="preserve">Joseph                        </t>
  </si>
  <si>
    <t xml:space="preserve">POD received from cell 0737934317 M     </t>
  </si>
  <si>
    <t>FESTO PORT ELIZABETH PATRIC PR</t>
  </si>
  <si>
    <t>POD received from cell 0602160136 M</t>
  </si>
  <si>
    <t>THOBILE</t>
  </si>
  <si>
    <t>lucul</t>
  </si>
  <si>
    <t xml:space="preserve">ndumiso                       </t>
  </si>
  <si>
    <t>shay</t>
  </si>
  <si>
    <t>JELBY</t>
  </si>
  <si>
    <t xml:space="preserve">Myron                         </t>
  </si>
  <si>
    <t>DALINTIN</t>
  </si>
  <si>
    <t>zenande</t>
  </si>
  <si>
    <t>bheki</t>
  </si>
  <si>
    <t>busi</t>
  </si>
  <si>
    <t xml:space="preserve">MOORE PROCESS CONTROLS (PTY) L     </t>
  </si>
  <si>
    <t>MOORE PROCESS CONTROLS  PTY  L</t>
  </si>
  <si>
    <t>sello</t>
  </si>
  <si>
    <t xml:space="preserve">sthe                          </t>
  </si>
  <si>
    <t xml:space="preserve">M MOJAPELO                    </t>
  </si>
  <si>
    <t xml:space="preserve">0105105106089                           </t>
  </si>
  <si>
    <t>mayisela</t>
  </si>
  <si>
    <t xml:space="preserve">madueua                       </t>
  </si>
  <si>
    <t>Molisizwe</t>
  </si>
  <si>
    <t>Eric</t>
  </si>
  <si>
    <t>Lydia</t>
  </si>
  <si>
    <t>POD received from cell 0784713598 M</t>
  </si>
  <si>
    <t>larnie</t>
  </si>
  <si>
    <t xml:space="preserve">POLYOAK PACKAGING (PTY) LTD E      </t>
  </si>
  <si>
    <t>POLYOAK PACKAGING  PTY  LTD E</t>
  </si>
  <si>
    <t>vuyo mazamisa</t>
  </si>
  <si>
    <t>Jenny</t>
  </si>
  <si>
    <t>Charmaine</t>
  </si>
  <si>
    <t xml:space="preserve">SMOKEHOUSE MASTERS PTY LTD         </t>
  </si>
  <si>
    <t>SMOKEHOUSE MASTERS PTY LTD</t>
  </si>
  <si>
    <t>carla</t>
  </si>
  <si>
    <t xml:space="preserve">FEDERAL MOGUL VALVES (PTY) LTD     </t>
  </si>
  <si>
    <t>FEDERAL MOGUL VALVES  PTY  LTD</t>
  </si>
  <si>
    <t>Abraham</t>
  </si>
  <si>
    <t xml:space="preserve">REPMA ENGINEERING (PTY) LTD        </t>
  </si>
  <si>
    <t>REPMA ENGINEERING  PTY  LTD</t>
  </si>
  <si>
    <t>RAPID INDUSTRIAL SUPPLIES PTY</t>
  </si>
  <si>
    <t xml:space="preserve">WOOL TESTING BUREAU S.A            </t>
  </si>
  <si>
    <t>WOOL TESTING BUREAU S.A</t>
  </si>
  <si>
    <t>J Francis</t>
  </si>
  <si>
    <t>POD received from cell 0634843728 M</t>
  </si>
  <si>
    <t xml:space="preserve">khutso                        </t>
  </si>
  <si>
    <t>Thandazwa</t>
  </si>
  <si>
    <t>Mari</t>
  </si>
  <si>
    <t xml:space="preserve">FAURECIA FIS PRETORIA AUTOMOTI     </t>
  </si>
  <si>
    <t>FAURECIA FIS PRETORIA AUTOMOTI</t>
  </si>
  <si>
    <t>VANESSA</t>
  </si>
  <si>
    <t xml:space="preserve">DAIRY GROUP SA PTY LTD             </t>
  </si>
  <si>
    <t>DAIRY GROUP SA PTY LTD</t>
  </si>
  <si>
    <t>nwan</t>
  </si>
  <si>
    <t>POD received from cell 0692632913 M</t>
  </si>
  <si>
    <t>reece</t>
  </si>
  <si>
    <t>japhter</t>
  </si>
  <si>
    <t>lonwabo</t>
  </si>
  <si>
    <t>barto</t>
  </si>
  <si>
    <t>Teboto</t>
  </si>
  <si>
    <t>AVION EAST RAND</t>
  </si>
  <si>
    <t>Kulani</t>
  </si>
  <si>
    <t>U Nortze</t>
  </si>
  <si>
    <t>ESTHER</t>
  </si>
  <si>
    <t>sizwe</t>
  </si>
  <si>
    <t xml:space="preserve">UNIVERSAL PAPER   PLASTIC (BOP     </t>
  </si>
  <si>
    <t>UNIVERSAL PAPER   PLASTIC  BOP</t>
  </si>
  <si>
    <t xml:space="preserve">mathew                        </t>
  </si>
  <si>
    <t>0208</t>
  </si>
  <si>
    <t>lorEnzo</t>
  </si>
  <si>
    <t xml:space="preserve">SUPPLYTECH (PTY) LTD               </t>
  </si>
  <si>
    <t>SUPPLYTECH  PTY  LTD</t>
  </si>
  <si>
    <t>K robbertse</t>
  </si>
  <si>
    <t>Dryers</t>
  </si>
  <si>
    <t>JOSHUA</t>
  </si>
  <si>
    <t>HERMA</t>
  </si>
  <si>
    <t>HERMANUS</t>
  </si>
  <si>
    <t xml:space="preserve">VEOLIA SERVICES SOUTHERN AFRIC     </t>
  </si>
  <si>
    <t>VEOLIA SERVICES SOUTHERN AFRIC</t>
  </si>
  <si>
    <t>nqohile</t>
  </si>
  <si>
    <t>POD received from cell 0627198686 M</t>
  </si>
  <si>
    <t>COL</t>
  </si>
  <si>
    <t xml:space="preserve">GERHARD UNGER DAIRY EQUIPMENT      </t>
  </si>
  <si>
    <t>GERHARD UNGER DAIRY EQUIPMENT</t>
  </si>
  <si>
    <t>Reuben</t>
  </si>
  <si>
    <t>Peter</t>
  </si>
  <si>
    <t>Esley</t>
  </si>
  <si>
    <t xml:space="preserve">AUTO TRIM ROSSLYN                  </t>
  </si>
  <si>
    <t>AUTO TRIM ROSSLYN</t>
  </si>
  <si>
    <t>SINAH POO</t>
  </si>
  <si>
    <t>Shirley</t>
  </si>
  <si>
    <t>gint</t>
  </si>
  <si>
    <t>Bernice</t>
  </si>
  <si>
    <t xml:space="preserve">MPACT OPERATIONS (PTY) LTD VEN     </t>
  </si>
  <si>
    <t>MPACT OPERATIONS  PTY  LTD VEN</t>
  </si>
  <si>
    <t>GRYNNER</t>
  </si>
  <si>
    <t>Dan</t>
  </si>
  <si>
    <t xml:space="preserve">SOUTH DEEP GOLD MINE (PTY) LTD     </t>
  </si>
  <si>
    <t>SOUTH DEEP GOLD MINE  PTY  LTD</t>
  </si>
  <si>
    <t>kelly</t>
  </si>
  <si>
    <t>POD received from cell 0685621776 M</t>
  </si>
  <si>
    <t>Nadine</t>
  </si>
  <si>
    <t>Kurt</t>
  </si>
  <si>
    <t xml:space="preserve">BASF CATALYST SOUTH AFRICA PTY     </t>
  </si>
  <si>
    <t>BASF CATALYST SOUTH AFRICA PTY</t>
  </si>
  <si>
    <t>Elize</t>
  </si>
  <si>
    <t>MLANGENI</t>
  </si>
  <si>
    <t>renny</t>
  </si>
  <si>
    <t xml:space="preserve">POLAR ICE CREAM CO PTY LTD         </t>
  </si>
  <si>
    <t>POLAR ICE CREAM CO PTY LTD</t>
  </si>
  <si>
    <t xml:space="preserve">Phezintle                     </t>
  </si>
  <si>
    <t xml:space="preserve">POD received from cell 0730378747 M     </t>
  </si>
  <si>
    <t xml:space="preserve">Brits Bag Manufacturing            </t>
  </si>
  <si>
    <t>Order number BTSP074310</t>
  </si>
  <si>
    <t>Kavenesh</t>
  </si>
  <si>
    <t>RUDI</t>
  </si>
  <si>
    <t>Duel</t>
  </si>
  <si>
    <t>xola</t>
  </si>
  <si>
    <t>ASIF</t>
  </si>
  <si>
    <t xml:space="preserve">RFG FOODS (PTY) LTD                </t>
  </si>
  <si>
    <t>RFG FOODS  PTY  LTD</t>
  </si>
  <si>
    <t>Lufuno</t>
  </si>
  <si>
    <t xml:space="preserve">CUBIX SUPPLY CHAIN SOLUTIONS C     </t>
  </si>
  <si>
    <t>CUBIX SUPPLY CHAIN SOLUTIONS C</t>
  </si>
  <si>
    <t>Whashiela</t>
  </si>
  <si>
    <t xml:space="preserve">Machado                       </t>
  </si>
  <si>
    <t xml:space="preserve">POD received from cell 0786786237 M     </t>
  </si>
  <si>
    <t>marinda</t>
  </si>
  <si>
    <t>P  J  Fado</t>
  </si>
  <si>
    <t xml:space="preserve">TOYOTA SA MOTORS PTY LTD           </t>
  </si>
  <si>
    <t>TOYOTA SA MOTORS PTY LTD STAMP</t>
  </si>
  <si>
    <t>lenard</t>
  </si>
  <si>
    <t>SIFISO</t>
  </si>
  <si>
    <t xml:space="preserve">MOLOTO                        </t>
  </si>
  <si>
    <t xml:space="preserve">HULAMIN OPERATIONS (PTY) LTD       </t>
  </si>
  <si>
    <t>HULAMIN OPERATIONS  PTY  LTD</t>
  </si>
  <si>
    <t>Thami</t>
  </si>
  <si>
    <t xml:space="preserve">MOPANI SE TVET COLLEGE SIR VAL     </t>
  </si>
  <si>
    <t>MOPANI SE TVET COLLEGE SIR VAL</t>
  </si>
  <si>
    <t>Rikhotso c a</t>
  </si>
  <si>
    <t xml:space="preserve">WOODEN P                      </t>
  </si>
  <si>
    <t>THULANI</t>
  </si>
  <si>
    <t xml:space="preserve">UMGUNGUNDLOVU TVET COLLEGE 078     </t>
  </si>
  <si>
    <t>UMGUNGUNDLOVU TVET COLLEGE 078</t>
  </si>
  <si>
    <t>mfeka</t>
  </si>
  <si>
    <t xml:space="preserve">MONDELEZ INTERNATIONAL INC 533     </t>
  </si>
  <si>
    <t>MONDELEZ INTERNATIONAL INC 533</t>
  </si>
  <si>
    <t>Samantha</t>
  </si>
  <si>
    <t xml:space="preserve">SECULO-TRIWEB PRINTERS             </t>
  </si>
  <si>
    <t>SECULO-TRIWEB PRINTERS</t>
  </si>
  <si>
    <t>Alina</t>
  </si>
  <si>
    <t>M ndaziso</t>
  </si>
  <si>
    <t xml:space="preserve">BAIC AUTOMOTIVE GROUP CO LTD       </t>
  </si>
  <si>
    <t>BAIC AUTOMOTIVE GROUP CO LTD</t>
  </si>
  <si>
    <t>lindiswa</t>
  </si>
  <si>
    <t>TENNECO RIDE CONTROL</t>
  </si>
  <si>
    <t>pumla</t>
  </si>
  <si>
    <t xml:space="preserve">GLOBAL AUTOMATION TECHNOLOGIES     </t>
  </si>
  <si>
    <t>GLOBAL AUTOMATION TECHNOLOGIES</t>
  </si>
  <si>
    <t xml:space="preserve">Stephan                       </t>
  </si>
  <si>
    <t>ruwayne</t>
  </si>
  <si>
    <t xml:space="preserve">AXXELLO PROJECTS (PTY) LTD         </t>
  </si>
  <si>
    <t>AXXELLO PROJECTS  PTY  LTD</t>
  </si>
  <si>
    <t>C Nohabir</t>
  </si>
  <si>
    <t>tess</t>
  </si>
  <si>
    <t xml:space="preserve">POLYOAK PACKAGING PTY LTD AERO     </t>
  </si>
  <si>
    <t>POLYOAK PACKAGING PTY LTD AERO</t>
  </si>
  <si>
    <t>Sivu</t>
  </si>
  <si>
    <t>Fanie</t>
  </si>
  <si>
    <t xml:space="preserve">BEARINGS ON CC                     </t>
  </si>
  <si>
    <t>BEARINGS ON CC</t>
  </si>
  <si>
    <t>faizil</t>
  </si>
  <si>
    <t xml:space="preserve">Q-SOL PHARMA (PTY) LTD             </t>
  </si>
  <si>
    <t>Q-SOL PHARMA  PTY  LTD</t>
  </si>
  <si>
    <t>THERESA</t>
  </si>
  <si>
    <t>Hayley</t>
  </si>
  <si>
    <t>RECAPTURED ref 080068652728</t>
  </si>
  <si>
    <t>GROBL</t>
  </si>
  <si>
    <t>GROBLERSDAL</t>
  </si>
  <si>
    <t xml:space="preserve">CUBIX SUPPLY CHAIN SOLUTIONS G     </t>
  </si>
  <si>
    <t>CUBIX SUPPLY CHAIN SOLUTIONS G</t>
  </si>
  <si>
    <t>KARIKA</t>
  </si>
  <si>
    <t>0430</t>
  </si>
  <si>
    <t>Pierre</t>
  </si>
  <si>
    <t>Chaz</t>
  </si>
  <si>
    <t>BOTRI</t>
  </si>
  <si>
    <t>BOTRIVIER</t>
  </si>
  <si>
    <t xml:space="preserve">NLO INFORMATION SYSTEMS (PTY)      </t>
  </si>
  <si>
    <t>NLO INFORMATION SYSTEMS  PTY</t>
  </si>
  <si>
    <t>ulrike</t>
  </si>
  <si>
    <t>POD received from cell 0834059114 M</t>
  </si>
  <si>
    <t>MPUME</t>
  </si>
  <si>
    <t>kaylen</t>
  </si>
  <si>
    <t xml:space="preserve">GRUPO-ANTOLIN (PTY) LTD            </t>
  </si>
  <si>
    <t>GRUPO-ANTOLIN  PTY  LTD</t>
  </si>
  <si>
    <t>Niven</t>
  </si>
  <si>
    <t xml:space="preserve">NTP RADIOISOTOPES                  </t>
  </si>
  <si>
    <t>NTP RADIOISOTOPES</t>
  </si>
  <si>
    <t>Company Closed</t>
  </si>
  <si>
    <t>gameban</t>
  </si>
  <si>
    <t xml:space="preserve">WOODTECH                           </t>
  </si>
  <si>
    <t>WOODTECH</t>
  </si>
  <si>
    <t>ATHI</t>
  </si>
  <si>
    <t>M FE WET</t>
  </si>
  <si>
    <t xml:space="preserve">maylee                        </t>
  </si>
  <si>
    <t xml:space="preserve">POD received from cell 0797647917 M     </t>
  </si>
  <si>
    <t xml:space="preserve">QUALIPAK (PTY) LTD                 </t>
  </si>
  <si>
    <t>QUALIPAK  PTY  LTD</t>
  </si>
  <si>
    <t xml:space="preserve">Jamie                         </t>
  </si>
  <si>
    <t>PAM</t>
  </si>
  <si>
    <t>EVANS</t>
  </si>
  <si>
    <t>Dreyer</t>
  </si>
  <si>
    <t xml:space="preserve">FREDDY HIRSCH BEZERBA SCALES       </t>
  </si>
  <si>
    <t>FREDDY HIRSCH BEZERBA SCALES</t>
  </si>
  <si>
    <t>nhluahli</t>
  </si>
  <si>
    <t>Windy</t>
  </si>
  <si>
    <t>RCL GROUP  DAPHNEY LEBELO 0768</t>
  </si>
  <si>
    <t>RAKALE</t>
  </si>
  <si>
    <t>Verona</t>
  </si>
  <si>
    <t>ruaan</t>
  </si>
  <si>
    <t xml:space="preserve">HYDRADOC HYDRAULICS                </t>
  </si>
  <si>
    <t>HYDRADOC HYDRAULICS</t>
  </si>
  <si>
    <t>juandri</t>
  </si>
  <si>
    <t xml:space="preserve">PALABORA COPPER (PTY) TD           </t>
  </si>
  <si>
    <t>PALABORA COPPER  PTY  TD</t>
  </si>
  <si>
    <t>loscar</t>
  </si>
  <si>
    <t>POD received from cell 0714955146 M</t>
  </si>
  <si>
    <t xml:space="preserve">FLAT PAL                      </t>
  </si>
  <si>
    <t>xoli</t>
  </si>
  <si>
    <t>Abrum</t>
  </si>
  <si>
    <t xml:space="preserve">soraya                        </t>
  </si>
  <si>
    <t>Nthabiseng</t>
  </si>
  <si>
    <t>POD received from cell 0741433512 M</t>
  </si>
  <si>
    <t xml:space="preserve">Reggie                        </t>
  </si>
  <si>
    <t>anchen</t>
  </si>
  <si>
    <t xml:space="preserve">CLAYVILLE NUTRITIONALS (PTY) L     </t>
  </si>
  <si>
    <t>CLAYVILLE NUTRITIONALS  PTY  L</t>
  </si>
  <si>
    <t>mbongiseng</t>
  </si>
  <si>
    <t>Karl</t>
  </si>
  <si>
    <t>mathews</t>
  </si>
  <si>
    <t>Andocend</t>
  </si>
  <si>
    <t>penmy</t>
  </si>
  <si>
    <t>mfundo</t>
  </si>
  <si>
    <t xml:space="preserve">phezinthle                    </t>
  </si>
  <si>
    <t xml:space="preserve">TRACPART MINING SUPPLIES           </t>
  </si>
  <si>
    <t>TRACPART MINING SUPPLIES</t>
  </si>
  <si>
    <t>luan</t>
  </si>
  <si>
    <t>letisia</t>
  </si>
  <si>
    <t>POD received from cell 0603223659 M</t>
  </si>
  <si>
    <t>kholofelo</t>
  </si>
  <si>
    <t>MXOLISI</t>
  </si>
  <si>
    <t>Roland</t>
  </si>
  <si>
    <t>Mahlatse</t>
  </si>
  <si>
    <t>m tsonope</t>
  </si>
  <si>
    <t>Vehicle breakdown</t>
  </si>
  <si>
    <t>abm</t>
  </si>
  <si>
    <t>POD received from cell 0641065083 M</t>
  </si>
  <si>
    <t>loretta</t>
  </si>
  <si>
    <t>POD received from cell 0744435413 M</t>
  </si>
  <si>
    <t>sibishke</t>
  </si>
  <si>
    <t>sthe</t>
  </si>
  <si>
    <t xml:space="preserve">S.A. MINT (PTY) LTD                </t>
  </si>
  <si>
    <t>S.A. MINT  PTY  LTD</t>
  </si>
  <si>
    <t xml:space="preserve">riska                         </t>
  </si>
  <si>
    <t xml:space="preserve">POD received from cell 0780568122 M     </t>
  </si>
  <si>
    <t xml:space="preserve">BRIDGE PROCUREMENT A DIV OF C.     </t>
  </si>
  <si>
    <t>BRIDGE PROCUREMENT A DIV OF C.</t>
  </si>
  <si>
    <t>blommeck</t>
  </si>
  <si>
    <t>nosipho</t>
  </si>
  <si>
    <t>QUEEN</t>
  </si>
  <si>
    <t>QUEENSTOWN</t>
  </si>
  <si>
    <t xml:space="preserve">TRUDA FOODS (PTY) LTD QUEENSTO     </t>
  </si>
  <si>
    <t>TRUDA FOODS  PTY  LTD QUEENSTO</t>
  </si>
  <si>
    <t>Nicole</t>
  </si>
  <si>
    <t>nkone</t>
  </si>
  <si>
    <t xml:space="preserve">thabang                       </t>
  </si>
  <si>
    <t>qyame</t>
  </si>
  <si>
    <t>doreen</t>
  </si>
  <si>
    <t>letisha</t>
  </si>
  <si>
    <t>fify</t>
  </si>
  <si>
    <t xml:space="preserve">Jeff                          </t>
  </si>
  <si>
    <t xml:space="preserve">VALMET FLOW CONTROL SOUTH AFRI     </t>
  </si>
  <si>
    <t>VALMET FLOW CONTROL SOUTH AFRI</t>
  </si>
  <si>
    <t>DAVID</t>
  </si>
  <si>
    <t>POD received from cell 0765666036 M</t>
  </si>
  <si>
    <t>akeisha</t>
  </si>
  <si>
    <t>marky</t>
  </si>
  <si>
    <t xml:space="preserve">PREMIUM IDEAS SOUTH AFRICA (PT     </t>
  </si>
  <si>
    <t>PREMIUM IDEAS SOUTH AFRICA  PT</t>
  </si>
  <si>
    <t>RABELANI</t>
  </si>
  <si>
    <t xml:space="preserve">AEROSUD AVIATION (PTY) LTD PIE     </t>
  </si>
  <si>
    <t>AEROSUD AVIATION  PTY  LTD PIE</t>
  </si>
  <si>
    <t>THEMBALETHU</t>
  </si>
  <si>
    <t>0045</t>
  </si>
  <si>
    <t xml:space="preserve">TONGAAT HULLETTS LIMITED T A T     </t>
  </si>
  <si>
    <t>TONGAAT HULLETTS LIMITED T A T</t>
  </si>
  <si>
    <t>msizi</t>
  </si>
  <si>
    <t>ZINE</t>
  </si>
  <si>
    <t xml:space="preserve">HALEON SOUTH AFRICA (PTY) LTD      </t>
  </si>
  <si>
    <t>HALEON SOUTH AFRICA  PTY  LTD</t>
  </si>
  <si>
    <t>Imraan</t>
  </si>
  <si>
    <t xml:space="preserve">fanie                         </t>
  </si>
  <si>
    <t xml:space="preserve">POD received from cell 0684745132 M     </t>
  </si>
  <si>
    <t xml:space="preserve">LOGICHEM CONTROL (PTY) LTD         </t>
  </si>
  <si>
    <t>LOGICHEM CONTROL  PTY  LTD</t>
  </si>
  <si>
    <t>lize</t>
  </si>
  <si>
    <t>POD received from cell 0735871460 M</t>
  </si>
  <si>
    <t>DEBORAH</t>
  </si>
  <si>
    <t>nomthunzi</t>
  </si>
  <si>
    <t>faraadh</t>
  </si>
  <si>
    <t xml:space="preserve">VOLKSWAGEN OF SA (VC 3055)         </t>
  </si>
  <si>
    <t>VOLKSWAGEN OF SA  VC 3055</t>
  </si>
  <si>
    <t>Mpho</t>
  </si>
  <si>
    <t>ishaam</t>
  </si>
  <si>
    <t>alfred</t>
  </si>
  <si>
    <t xml:space="preserve">Johny                         </t>
  </si>
  <si>
    <t>monwabisi</t>
  </si>
  <si>
    <t xml:space="preserve">FESTO DURBAN SUITE 139             </t>
  </si>
  <si>
    <t>PMH VISIT DEMOS</t>
  </si>
  <si>
    <t>PMH</t>
  </si>
  <si>
    <t>mncwane</t>
  </si>
  <si>
    <t xml:space="preserve">CONSULMET WH2 AVALON RD MODDER     </t>
  </si>
  <si>
    <t>CONSULMET WH2 AVALON RD MODDER</t>
  </si>
  <si>
    <t>r baker</t>
  </si>
  <si>
    <t xml:space="preserve">NON FERROUS METAL WORKS S.A        </t>
  </si>
  <si>
    <t>NON FERROUS METAL WORKS S.A</t>
  </si>
  <si>
    <t>sandile</t>
  </si>
  <si>
    <t>khutso</t>
  </si>
  <si>
    <t xml:space="preserve">EMMANUEL                      </t>
  </si>
  <si>
    <t>PIM</t>
  </si>
  <si>
    <t>POD received from cell 0629117611 M</t>
  </si>
  <si>
    <t>JACOB</t>
  </si>
  <si>
    <t>cerwin</t>
  </si>
  <si>
    <t>respect</t>
  </si>
  <si>
    <t>TSHIAMO</t>
  </si>
  <si>
    <t>sne</t>
  </si>
  <si>
    <t xml:space="preserve">NAMPAK CLOSURES EPPING 2 CAPE      </t>
  </si>
  <si>
    <t>NAMPAK CLOSURES EPPING 2 CAPE</t>
  </si>
  <si>
    <t xml:space="preserve">R Ross                        </t>
  </si>
  <si>
    <t>DIVAAN</t>
  </si>
  <si>
    <t xml:space="preserve">INDOCO REMEDIES SA PTY LTD         </t>
  </si>
  <si>
    <t>INDOCO REMEDIES SA PTY LTD</t>
  </si>
  <si>
    <t>caales</t>
  </si>
  <si>
    <t>POD received from cell 0733906271 M</t>
  </si>
  <si>
    <t>A hill</t>
  </si>
  <si>
    <t>nokupiwe</t>
  </si>
  <si>
    <t>Xolelwa</t>
  </si>
  <si>
    <t xml:space="preserve">FLLYER                        </t>
  </si>
  <si>
    <t>ZIZILE</t>
  </si>
  <si>
    <t>yagna</t>
  </si>
  <si>
    <t>Ansel</t>
  </si>
  <si>
    <t xml:space="preserve">Jaco                          </t>
  </si>
  <si>
    <t xml:space="preserve">emra                          </t>
  </si>
  <si>
    <t xml:space="preserve">POD received from cell 0719539417 M     </t>
  </si>
  <si>
    <t>ashraf</t>
  </si>
  <si>
    <t xml:space="preserve">THABO                         </t>
  </si>
  <si>
    <t>N NGWENYANE</t>
  </si>
  <si>
    <t>anin</t>
  </si>
  <si>
    <t xml:space="preserve">PEARLMAN VENEERS PTY LTD           </t>
  </si>
  <si>
    <t>PEARLMAN VENEERS PTY LTD</t>
  </si>
  <si>
    <t xml:space="preserve">TEC SOUTH AND CENTRAL AFRICA       </t>
  </si>
  <si>
    <t>TEC SOUTH AND CENTRAL AFRICA</t>
  </si>
  <si>
    <t>Teballo</t>
  </si>
  <si>
    <t>Yolanda</t>
  </si>
  <si>
    <t xml:space="preserve">Nolusindiso                   </t>
  </si>
  <si>
    <t xml:space="preserve">J Francis                     </t>
  </si>
  <si>
    <t xml:space="preserve">POD received from cell 0634843728 M     </t>
  </si>
  <si>
    <t>Eneth</t>
  </si>
  <si>
    <t>POD received from cell 0764180934 M</t>
  </si>
  <si>
    <t>U  Nortje</t>
  </si>
  <si>
    <t>Amanda</t>
  </si>
  <si>
    <t>TSHEPO</t>
  </si>
  <si>
    <t xml:space="preserve">KELPACK MANUFACTURING (PTY) LT     </t>
  </si>
  <si>
    <t>KELPACK MANUFACTURING  PTY  LT</t>
  </si>
  <si>
    <t>thuba</t>
  </si>
  <si>
    <t xml:space="preserve">DUNLOP INDUSTRIAL PRODUCTS T A     </t>
  </si>
  <si>
    <t>SDX</t>
  </si>
  <si>
    <t>DUNLOP INDUSTRIAL PRODUCT</t>
  </si>
  <si>
    <t xml:space="preserve">Z E Mncube                    </t>
  </si>
  <si>
    <t>DOC / DSD / DOC / FUE / INS</t>
  </si>
  <si>
    <t xml:space="preserve">Productive Systems                 </t>
  </si>
  <si>
    <t>Andre van Vuuren</t>
  </si>
  <si>
    <t>striny</t>
  </si>
  <si>
    <t xml:space="preserve">Chaz                          </t>
  </si>
  <si>
    <t xml:space="preserve">TIGER CONSUMER BRANDS LTD T A      </t>
  </si>
  <si>
    <t>TIGER CONSUMER BRANDS LTD T A</t>
  </si>
  <si>
    <t xml:space="preserve">ntombi                        </t>
  </si>
  <si>
    <t>Robin</t>
  </si>
  <si>
    <t>sheley</t>
  </si>
  <si>
    <t>Rushaan</t>
  </si>
  <si>
    <t>Skeyi</t>
  </si>
  <si>
    <t>MFUNDO</t>
  </si>
  <si>
    <t>Norman</t>
  </si>
  <si>
    <t>POD received from cell 0612142991 M</t>
  </si>
  <si>
    <t xml:space="preserve">DES GROUP PTY LTD UMBOGINTWINI     </t>
  </si>
  <si>
    <t>DES GROUP PTY LTD UMBOGINTWINI</t>
  </si>
  <si>
    <t>shelley</t>
  </si>
  <si>
    <t>A mphahlele</t>
  </si>
  <si>
    <t>00619</t>
  </si>
  <si>
    <t>charity</t>
  </si>
  <si>
    <t>POD received from cell 0659659867 M</t>
  </si>
  <si>
    <t xml:space="preserve">TELPLAST PTY LTD                   </t>
  </si>
  <si>
    <t>TELPLAST PTY LTD</t>
  </si>
  <si>
    <t>Zanele</t>
  </si>
  <si>
    <t xml:space="preserve">CEMPACK TREVOC MANAGEMENT SERV     </t>
  </si>
  <si>
    <t>CEMPACK TREVOC MANAGEMENT SERV</t>
  </si>
  <si>
    <t>M Louw</t>
  </si>
  <si>
    <t>BRIAN</t>
  </si>
  <si>
    <t xml:space="preserve">PROPROCESS ENGINEERING (PTY) L     </t>
  </si>
  <si>
    <t>PROPROCESS ENGINEERING  PTY  L</t>
  </si>
  <si>
    <t>samntha</t>
  </si>
  <si>
    <t>SNY</t>
  </si>
  <si>
    <t>athenkosi</t>
  </si>
  <si>
    <t xml:space="preserve">BESTBIER SOLUTIONS BRACKENFELL     </t>
  </si>
  <si>
    <t>BESTBIER SOLUTIONS BRACKENFELL</t>
  </si>
  <si>
    <t>Dewald</t>
  </si>
  <si>
    <t>Bongani</t>
  </si>
  <si>
    <t xml:space="preserve">Brandon                       </t>
  </si>
  <si>
    <t xml:space="preserve">POD received from cell 0672223699 M     </t>
  </si>
  <si>
    <t>Sinazo</t>
  </si>
  <si>
    <t>graydin</t>
  </si>
  <si>
    <t>COOKH</t>
  </si>
  <si>
    <t>COOKHOUSE</t>
  </si>
  <si>
    <t xml:space="preserve">COOKHOUSE CREAMERY (PTY) LTD       </t>
  </si>
  <si>
    <t>COOKHOUSE CREAMERY  PTY  LTD</t>
  </si>
  <si>
    <t>Berty</t>
  </si>
  <si>
    <t>Thomas</t>
  </si>
  <si>
    <t>Lnel</t>
  </si>
  <si>
    <t>POD received from cell 0673277989 M</t>
  </si>
  <si>
    <t>basil</t>
  </si>
  <si>
    <t>Younes</t>
  </si>
  <si>
    <t>coutlin</t>
  </si>
  <si>
    <t>innocentia</t>
  </si>
  <si>
    <t xml:space="preserve">SITHOLE                       </t>
  </si>
  <si>
    <t>mzukisi</t>
  </si>
  <si>
    <t xml:space="preserve">LATHAM FILTRATION TECHNOLOGY (     </t>
  </si>
  <si>
    <t>LATHAM FILTRATION TECHNOLOGY</t>
  </si>
  <si>
    <t>Savanna</t>
  </si>
  <si>
    <t>sphamandla</t>
  </si>
  <si>
    <t xml:space="preserve">DAVITA TRADING (PTY) LTD           </t>
  </si>
  <si>
    <t>DAVITA TRADING  PTY  LTD</t>
  </si>
  <si>
    <t>Busisiwe</t>
  </si>
  <si>
    <t xml:space="preserve">Joyce                         </t>
  </si>
  <si>
    <t>nerosha</t>
  </si>
  <si>
    <t>POD received from cell 0767994841 M</t>
  </si>
  <si>
    <t>gunote</t>
  </si>
  <si>
    <t>luthabile</t>
  </si>
  <si>
    <t>shawn</t>
  </si>
  <si>
    <t>Fatima</t>
  </si>
  <si>
    <t>POD received from cell 0730378747 M</t>
  </si>
  <si>
    <t>Terence</t>
  </si>
  <si>
    <t>desnay</t>
  </si>
  <si>
    <t>aaron</t>
  </si>
  <si>
    <t>muzi</t>
  </si>
  <si>
    <t>illeg - signature</t>
  </si>
  <si>
    <t xml:space="preserve">TOPLINE TOOLING (PTY) LTD          </t>
  </si>
  <si>
    <t>TOPLINE TOOLING  PTY  LTD</t>
  </si>
  <si>
    <t>jerry</t>
  </si>
  <si>
    <t xml:space="preserve">MMS TECHNOLOGY (PTY) LTD LYTTE     </t>
  </si>
  <si>
    <t>MMS TECHNOLOGY  PTY  LTD LYTTE</t>
  </si>
  <si>
    <t xml:space="preserve">RIDEER                        </t>
  </si>
  <si>
    <t>L t Segole</t>
  </si>
  <si>
    <t xml:space="preserve">LEAR SEWING (PTY) LTD P.E          </t>
  </si>
  <si>
    <t>LEAR SEWING  PTY  LTD P.E</t>
  </si>
  <si>
    <t>denoleen</t>
  </si>
  <si>
    <t>gwem</t>
  </si>
  <si>
    <t xml:space="preserve">Patrick                       </t>
  </si>
  <si>
    <t>GERT</t>
  </si>
  <si>
    <t>malibingwe</t>
  </si>
  <si>
    <t>F De Beer</t>
  </si>
  <si>
    <t>nathi</t>
  </si>
  <si>
    <t xml:space="preserve">HANON SYSTEMS SOUTH AFRICA         </t>
  </si>
  <si>
    <t>HANON SYSTEMS SOUTH AFRICA</t>
  </si>
  <si>
    <t xml:space="preserve">whitney                       </t>
  </si>
  <si>
    <t xml:space="preserve">POD received from cell 0659756866 M     </t>
  </si>
  <si>
    <t>lolira</t>
  </si>
  <si>
    <t>braedon</t>
  </si>
  <si>
    <t>Marcu</t>
  </si>
  <si>
    <t>VUKANI</t>
  </si>
  <si>
    <t>Kyle</t>
  </si>
  <si>
    <t>MARIK</t>
  </si>
  <si>
    <t>MARIKANA</t>
  </si>
  <si>
    <t xml:space="preserve">SIBANYE STILLWATER WESTERN PLA     </t>
  </si>
  <si>
    <t>SIBANYE STILLWATER WESTERN PLA</t>
  </si>
  <si>
    <t>0284</t>
  </si>
  <si>
    <t>Nathan</t>
  </si>
  <si>
    <t>SIBIYA</t>
  </si>
  <si>
    <t xml:space="preserve">PAC VALVES (PTY) LTD NOORDHEUW     </t>
  </si>
  <si>
    <t>PAC VALVES  PTY  LTD NOORDHEUW</t>
  </si>
  <si>
    <t>POD received from cell 0794524703 M</t>
  </si>
  <si>
    <t xml:space="preserve">UNIVERSAL AUTOMATION SYSTEMS P     </t>
  </si>
  <si>
    <t>UNIVERSAL AUTOMATION SYSTEMS P</t>
  </si>
  <si>
    <t>darrian</t>
  </si>
  <si>
    <t xml:space="preserve">mary                          </t>
  </si>
  <si>
    <t>chuma</t>
  </si>
  <si>
    <t xml:space="preserve">A.P.L CARTONS WORCESTER            </t>
  </si>
  <si>
    <t>A.P.L CARTONS WORCESTER</t>
  </si>
  <si>
    <t>Lizelle</t>
  </si>
  <si>
    <t>A Koza</t>
  </si>
  <si>
    <t>brent</t>
  </si>
  <si>
    <t>POD received from cell 0739570238 M</t>
  </si>
  <si>
    <t>meagie</t>
  </si>
  <si>
    <t xml:space="preserve">ELIGIBLE                      </t>
  </si>
  <si>
    <t xml:space="preserve">POD received from cell 0832048163 M     </t>
  </si>
  <si>
    <t xml:space="preserve">kedibone                      </t>
  </si>
  <si>
    <t xml:space="preserve">POD received from cell 0638636636 M     </t>
  </si>
  <si>
    <t>Joyce</t>
  </si>
  <si>
    <t>Alistair</t>
  </si>
  <si>
    <t>Lizzy</t>
  </si>
  <si>
    <t>johan</t>
  </si>
  <si>
    <t>zoleka</t>
  </si>
  <si>
    <t>NOLENCE</t>
  </si>
  <si>
    <t>mohhamad</t>
  </si>
  <si>
    <t>MOSES</t>
  </si>
  <si>
    <t xml:space="preserve">FOODCORP (PTY) LTD BENONI          </t>
  </si>
  <si>
    <t>FOODCORP  PTY  LTD BENONI</t>
  </si>
  <si>
    <t>Ashford</t>
  </si>
  <si>
    <t>avisha</t>
  </si>
  <si>
    <t>PLETT</t>
  </si>
  <si>
    <t>PLETTENBERG BAY</t>
  </si>
  <si>
    <t xml:space="preserve">EASTERN CAPE ATTN: GREG PERKS      </t>
  </si>
  <si>
    <t>EASTERN CAPE ATTN  GREG PERKS</t>
  </si>
  <si>
    <t>Nandipha</t>
  </si>
  <si>
    <t>RUM</t>
  </si>
  <si>
    <t>POD received from cell 0748300932 M</t>
  </si>
  <si>
    <t xml:space="preserve">PHILIP SMIT PLETTENBERG BAY        </t>
  </si>
  <si>
    <t>PHILIP SMIT PLETTENBERG BAY</t>
  </si>
  <si>
    <t>rudi</t>
  </si>
  <si>
    <t xml:space="preserve">MECHANEER CC                       </t>
  </si>
  <si>
    <t>MECHANEER CC</t>
  </si>
  <si>
    <t>wynand</t>
  </si>
  <si>
    <t>POD received from cell 0810518321 M</t>
  </si>
  <si>
    <t>hanns</t>
  </si>
  <si>
    <t>Pieter</t>
  </si>
  <si>
    <t xml:space="preserve">SKYNET DEPOT EAST LONDON           </t>
  </si>
  <si>
    <t>SHAUN PUCHERT</t>
  </si>
  <si>
    <t xml:space="preserve">MODIMAD CC                         </t>
  </si>
  <si>
    <t>MODIMAD CC</t>
  </si>
  <si>
    <t>tracy</t>
  </si>
  <si>
    <t>sboniso</t>
  </si>
  <si>
    <t xml:space="preserve">UNIQUE HYDRA (PTY) LTD             </t>
  </si>
  <si>
    <t>UNIQUE HYDRA  PTY  LTD</t>
  </si>
  <si>
    <t>BENNET</t>
  </si>
  <si>
    <t>sure</t>
  </si>
  <si>
    <t xml:space="preserve">ROBOTIC INNOVATIONS (PTY) LTD      </t>
  </si>
  <si>
    <t>ROBOTIC INNOVATIONS  PTY  LTD</t>
  </si>
  <si>
    <t xml:space="preserve">CHANTELL                      </t>
  </si>
  <si>
    <t xml:space="preserve">RUBICON ELECTRICAL DISTRIBUTOR     </t>
  </si>
  <si>
    <t>RUBICON ELECTRICAL DISTRIBUTOR</t>
  </si>
  <si>
    <t xml:space="preserve">Nyariso                       </t>
  </si>
  <si>
    <t xml:space="preserve">patrick                       </t>
  </si>
  <si>
    <t xml:space="preserve">jb - illeg - signature        </t>
  </si>
  <si>
    <t>banele</t>
  </si>
  <si>
    <t>TES</t>
  </si>
  <si>
    <t>alkuise</t>
  </si>
  <si>
    <t xml:space="preserve">QUANTUM MECHANICAL CC              </t>
  </si>
  <si>
    <t>QUANTUM MECHANICAL CC</t>
  </si>
  <si>
    <t>selvyn</t>
  </si>
  <si>
    <t xml:space="preserve">Innovative Water                   </t>
  </si>
  <si>
    <t>Portiia Senoa</t>
  </si>
  <si>
    <t>Margaret</t>
  </si>
  <si>
    <t>illeg - jb - signature</t>
  </si>
  <si>
    <t xml:space="preserve">PIONEER FOODS GROCERIES PTY LT     </t>
  </si>
  <si>
    <t>T A  PEPSICO ATTN  MAINTENANCE</t>
  </si>
  <si>
    <t>mthandei</t>
  </si>
  <si>
    <t>GEAS</t>
  </si>
  <si>
    <t xml:space="preserve">FLEXICON AFRICA PTYL TD DC WEI     </t>
  </si>
  <si>
    <t>FLEXICON AFRICA PTYL TD DC WEI</t>
  </si>
  <si>
    <t xml:space="preserve">FERNANDO                      </t>
  </si>
  <si>
    <t xml:space="preserve">IAA DISTRIBUTION ROODEPOORT        </t>
  </si>
  <si>
    <t>IAA DISTRIBUTION ROODEPOORT</t>
  </si>
  <si>
    <t xml:space="preserve">motsidisi                     </t>
  </si>
  <si>
    <t xml:space="preserve">POD received from cell 0644108519 M     </t>
  </si>
  <si>
    <t xml:space="preserve">benita                        </t>
  </si>
  <si>
    <t xml:space="preserve">POD received from cell 0639000995 M     </t>
  </si>
  <si>
    <t xml:space="preserve">FELTEX TRIM P.E                    </t>
  </si>
  <si>
    <t>FELTEX TRIM P.E</t>
  </si>
  <si>
    <t>nadlia</t>
  </si>
  <si>
    <t xml:space="preserve"> Tim                          </t>
  </si>
  <si>
    <t xml:space="preserve">gavin                         </t>
  </si>
  <si>
    <t>TESS</t>
  </si>
  <si>
    <t>lettisia</t>
  </si>
  <si>
    <t xml:space="preserve">MAIN STREET 1310(PTY) LTD T A      </t>
  </si>
  <si>
    <t>MAIN STREET 1310 PTY  LTD T A</t>
  </si>
  <si>
    <t>nokukhanya</t>
  </si>
  <si>
    <t>wesley</t>
  </si>
  <si>
    <t>cebo</t>
  </si>
  <si>
    <t>SITHOLE</t>
  </si>
  <si>
    <t xml:space="preserve">Theo                          </t>
  </si>
  <si>
    <t>Letisia</t>
  </si>
  <si>
    <t xml:space="preserve">andile                        </t>
  </si>
  <si>
    <t>andrew</t>
  </si>
  <si>
    <t>sipisethu</t>
  </si>
  <si>
    <t xml:space="preserve">PAILPAC (PTY)LTD                   </t>
  </si>
  <si>
    <t>PAILPAC  PTY LTD</t>
  </si>
  <si>
    <t>POD received from cell 0835262345 M</t>
  </si>
  <si>
    <t>SHAHEED</t>
  </si>
  <si>
    <t>Trymore</t>
  </si>
  <si>
    <t>ELMARIE</t>
  </si>
  <si>
    <t>POD received from cell 0754929443 M</t>
  </si>
  <si>
    <t xml:space="preserve">Thurlow                       </t>
  </si>
  <si>
    <t xml:space="preserve">OWL RAGEOUS (PTY LTD ATLASVILL     </t>
  </si>
  <si>
    <t>OWL RAGEOUS  PTY LTD ATLASVILL</t>
  </si>
  <si>
    <t>V Wanger</t>
  </si>
  <si>
    <t>fifu</t>
  </si>
  <si>
    <t>m mphahlele</t>
  </si>
  <si>
    <t>Trevor zulu</t>
  </si>
  <si>
    <t>MIKE</t>
  </si>
  <si>
    <t>nolan</t>
  </si>
  <si>
    <t>vs nest</t>
  </si>
  <si>
    <t>r lodewyk</t>
  </si>
  <si>
    <t xml:space="preserve">TIGER BRANDS SNACKS  TREATS PH     </t>
  </si>
  <si>
    <t>TIGER BRANDS SNACKS  TREATS PH</t>
  </si>
  <si>
    <t>maaa</t>
  </si>
  <si>
    <t xml:space="preserve">simphiwe                      </t>
  </si>
  <si>
    <t xml:space="preserve">POD received from cell 0602160136 M     </t>
  </si>
  <si>
    <t xml:space="preserve">NESTLE SOUTH AFRICA                </t>
  </si>
  <si>
    <t>NESTLE SOUTH AFRICA</t>
  </si>
  <si>
    <t>stanton</t>
  </si>
  <si>
    <t>nkosinathi</t>
  </si>
  <si>
    <t xml:space="preserve">ALLPRONIX (PTY) LTD RANDPARK R     </t>
  </si>
  <si>
    <t>ALLPRONIX  PTY  LTD RANDPARK R</t>
  </si>
  <si>
    <t>tammy</t>
  </si>
  <si>
    <t>Sphamandla</t>
  </si>
  <si>
    <t>taylor</t>
  </si>
  <si>
    <t>DOUGLAS</t>
  </si>
  <si>
    <t>Danel</t>
  </si>
  <si>
    <t xml:space="preserve">AIR LIQUIDE (PTY) LTD ALRODE       </t>
  </si>
  <si>
    <t>AIR LIQUIDE  PTY  LTD ALRODE</t>
  </si>
  <si>
    <t xml:space="preserve">VICTORY ELECTRICAL CC MILNERTO     </t>
  </si>
  <si>
    <t>VICTORY ELECTRICAL CC MILNERTO</t>
  </si>
  <si>
    <t>sinzen</t>
  </si>
  <si>
    <t xml:space="preserve">THE SOUTH AFRICA BREWERIES MAL     </t>
  </si>
  <si>
    <t>THE SOUTH AFRICA BREWERIES MAL</t>
  </si>
  <si>
    <t>nomsa</t>
  </si>
  <si>
    <t>reajan</t>
  </si>
  <si>
    <t>Steven</t>
  </si>
  <si>
    <t xml:space="preserve">HAMAR CONTROL ROODEPOORT           </t>
  </si>
  <si>
    <t>HAMAR CONTROL ROODEPOORT</t>
  </si>
  <si>
    <t>AMOTIE</t>
  </si>
  <si>
    <t>gary</t>
  </si>
  <si>
    <t>isaacs</t>
  </si>
  <si>
    <t>Wendy</t>
  </si>
  <si>
    <t>ntombela</t>
  </si>
  <si>
    <t xml:space="preserve">bailey                        </t>
  </si>
  <si>
    <t xml:space="preserve">Rapid Industrial                   </t>
  </si>
  <si>
    <t>Nita</t>
  </si>
  <si>
    <t>Luzelle</t>
  </si>
  <si>
    <t>POD received from cell 0734301084 M</t>
  </si>
  <si>
    <t>christian</t>
  </si>
  <si>
    <t>POD received from cell 0652659465 M</t>
  </si>
  <si>
    <t>Tshegofatso</t>
  </si>
  <si>
    <t>jerrel</t>
  </si>
  <si>
    <t>gama</t>
  </si>
  <si>
    <t xml:space="preserve">Robby                         </t>
  </si>
  <si>
    <t>jarelle</t>
  </si>
  <si>
    <t xml:space="preserve">theo                          </t>
  </si>
  <si>
    <t xml:space="preserve">ELKEM                              </t>
  </si>
  <si>
    <t>ELKEM</t>
  </si>
  <si>
    <t>prosper</t>
  </si>
  <si>
    <t>POD received from cell 0795720751 M</t>
  </si>
  <si>
    <t xml:space="preserve">CONCORD FOOD   DRUG DISTRIBUTO     </t>
  </si>
  <si>
    <t>CONCORD FOOD   DRUG DISTRIBUTO</t>
  </si>
  <si>
    <t>John</t>
  </si>
  <si>
    <t>POD received from cell 0723831473 M</t>
  </si>
  <si>
    <t xml:space="preserve">Sivu                          </t>
  </si>
  <si>
    <t>talita</t>
  </si>
  <si>
    <t xml:space="preserve">Petrus                        </t>
  </si>
  <si>
    <t xml:space="preserve">POD received from cell 0616803324 M     </t>
  </si>
  <si>
    <t xml:space="preserve">PPC CEMENT DEAL PARTY PLZ          </t>
  </si>
  <si>
    <t>PPC CEMENT DEAL PARTY PLZ</t>
  </si>
  <si>
    <t>JAPIE GODFREY</t>
  </si>
  <si>
    <t xml:space="preserve">ZF LEMFORDER SA LTD                </t>
  </si>
  <si>
    <t>ZF LEMFORDER SA LTD</t>
  </si>
  <si>
    <t xml:space="preserve">CLOVER SA (PTY) LTD CLAYVILLE      </t>
  </si>
  <si>
    <t>CLOVER SA  PTY  LTD CLAYVILLE</t>
  </si>
  <si>
    <t xml:space="preserve">zimba                         </t>
  </si>
  <si>
    <t xml:space="preserve">POD received from cell 0833616148 M     </t>
  </si>
  <si>
    <t xml:space="preserve">ACDC DYNAMICS CC                   </t>
  </si>
  <si>
    <t>ACDC DYNAMICS CC</t>
  </si>
  <si>
    <t>government</t>
  </si>
  <si>
    <t xml:space="preserve">Mhlongo                       </t>
  </si>
  <si>
    <t xml:space="preserve">BVAAN                         </t>
  </si>
  <si>
    <t>bukelwa</t>
  </si>
  <si>
    <t xml:space="preserve">CLOVER SA (PTY) LTD NCD SENTRA     </t>
  </si>
  <si>
    <t>CLOVER SA  PTY  LTD NCD SENTRA</t>
  </si>
  <si>
    <t>shido</t>
  </si>
  <si>
    <t xml:space="preserve">Janre Smit                    </t>
  </si>
  <si>
    <t xml:space="preserve">POD received from cell 0844748643 M     </t>
  </si>
  <si>
    <t>kutlwano</t>
  </si>
  <si>
    <t>BOTES</t>
  </si>
  <si>
    <t xml:space="preserve">IRVIN   JOHNSON LTD PAARDEN EI     </t>
  </si>
  <si>
    <t>IRVIN   JOHNSON LTD PAARDEN EI</t>
  </si>
  <si>
    <t>saban</t>
  </si>
  <si>
    <t xml:space="preserve">MOLELE                        </t>
  </si>
  <si>
    <t>Lariette</t>
  </si>
  <si>
    <t>Roezanke</t>
  </si>
  <si>
    <t xml:space="preserve">Asanda                        </t>
  </si>
  <si>
    <t xml:space="preserve">ULMO WATER FIRGROVE INDUSTRIAL     </t>
  </si>
  <si>
    <t>ULMO WATER FIRGROVE INDUSTRIAL</t>
  </si>
  <si>
    <t>bernard</t>
  </si>
  <si>
    <t xml:space="preserve">CAPE OIL   MARGARINE PTY LTD       </t>
  </si>
  <si>
    <t>CAPE OIL   MARGARINE PTY LTD</t>
  </si>
  <si>
    <t>GREG</t>
  </si>
  <si>
    <t>ewald</t>
  </si>
  <si>
    <t xml:space="preserve">jabu                          </t>
  </si>
  <si>
    <t>Kwanele</t>
  </si>
  <si>
    <t>industrial action</t>
  </si>
  <si>
    <t xml:space="preserve">NUWATER SYSTEMS PTY LTD            </t>
  </si>
  <si>
    <t>NUWATER SYSTEMS PTY LTD</t>
  </si>
  <si>
    <t>bella</t>
  </si>
  <si>
    <t xml:space="preserve">ISEGEN S.A (PTY) LTD               </t>
  </si>
  <si>
    <t>ISEGEN S.A  PTY  LTD</t>
  </si>
  <si>
    <t>keegan</t>
  </si>
  <si>
    <t xml:space="preserve">IMARA AUTOMATION CC                </t>
  </si>
  <si>
    <t>IMARA AUTOMATION CC</t>
  </si>
  <si>
    <t>Tiaan</t>
  </si>
  <si>
    <t xml:space="preserve">TIGER CONSUMER BRANDS T A TAST     </t>
  </si>
  <si>
    <t>TIGER CONSUMER BRANDS T A TAST</t>
  </si>
  <si>
    <t>b dlamini</t>
  </si>
  <si>
    <t>sithole</t>
  </si>
  <si>
    <t>S Mlaba</t>
  </si>
  <si>
    <t>Khayakazi</t>
  </si>
  <si>
    <t>esther</t>
  </si>
  <si>
    <t xml:space="preserve">NAMPAK LIQUID PACKAGING ISITHE     </t>
  </si>
  <si>
    <t>NAMPAK LIQUID PACKAGING ISITHE</t>
  </si>
  <si>
    <t>Edison</t>
  </si>
  <si>
    <t>Alex</t>
  </si>
  <si>
    <t xml:space="preserve">Qurisha                       </t>
  </si>
  <si>
    <t>Kedibone</t>
  </si>
  <si>
    <t>PATEN</t>
  </si>
  <si>
    <t>PATENSIE</t>
  </si>
  <si>
    <t xml:space="preserve">GN PUMPS AND MOTORS (PTY) LTD      </t>
  </si>
  <si>
    <t>GN PUMPS AND MOTORS  PTY  LTD</t>
  </si>
  <si>
    <t>Jason</t>
  </si>
  <si>
    <t xml:space="preserve">INSTRAMAC (PTY) LTD SPARTAN        </t>
  </si>
  <si>
    <t>INSTRAMAC  PTY  LTD SPARTAN</t>
  </si>
  <si>
    <t>0004</t>
  </si>
  <si>
    <t xml:space="preserve">CONSOLIDATED WIRE INDUSTRIES (     </t>
  </si>
  <si>
    <t>CONSOLIDATED WIRE INDUSTRIES</t>
  </si>
  <si>
    <t>Chantelle</t>
  </si>
  <si>
    <t xml:space="preserve">LIQUI BOX (PTY) LTD                </t>
  </si>
  <si>
    <t>LIQUI BOX  PTY  LTD</t>
  </si>
  <si>
    <t>Donavan</t>
  </si>
  <si>
    <t>sam</t>
  </si>
  <si>
    <t>Lukhanyo</t>
  </si>
  <si>
    <t>POD received from cell 0810030343 M</t>
  </si>
  <si>
    <t xml:space="preserve">ALBANY BAKERIES RANDFORTEIN        </t>
  </si>
  <si>
    <t>YOLANDI ALLERSTON</t>
  </si>
  <si>
    <t>mathusi</t>
  </si>
  <si>
    <t>ngwena</t>
  </si>
  <si>
    <t xml:space="preserve">Lucky                         </t>
  </si>
  <si>
    <t xml:space="preserve">AUTOMOULD PTY LTD                  </t>
  </si>
  <si>
    <t>AUTOMOULD PTY LTD</t>
  </si>
  <si>
    <t>selby</t>
  </si>
  <si>
    <t>naputali</t>
  </si>
  <si>
    <t>sonwabiso</t>
  </si>
  <si>
    <t>jannie</t>
  </si>
  <si>
    <t xml:space="preserve">ANG INDUSTRIAL SOLUTION            </t>
  </si>
  <si>
    <t xml:space="preserve">FESTO PTY LTD                      </t>
  </si>
  <si>
    <t>NA</t>
  </si>
  <si>
    <t>LUCKY</t>
  </si>
  <si>
    <t>ansel</t>
  </si>
  <si>
    <t xml:space="preserve">MARCU                         </t>
  </si>
  <si>
    <t xml:space="preserve">CARNILINX PTY LTD                  </t>
  </si>
  <si>
    <t>CARNILINX PTY LTD</t>
  </si>
  <si>
    <t>Maxwell</t>
  </si>
  <si>
    <t xml:space="preserve">LEVINO CONSULTING AND CONSTRUC     </t>
  </si>
  <si>
    <t>LEVINO CONSULTING AND CONSTRUC</t>
  </si>
  <si>
    <t xml:space="preserve">FELTEX AUTOMOTIVE DIVISION- GR     </t>
  </si>
  <si>
    <t>FELTEX AUTOMOTIVE DIVISION- GR</t>
  </si>
  <si>
    <t>samantha</t>
  </si>
  <si>
    <t>Myrin</t>
  </si>
  <si>
    <t xml:space="preserve">RICE   PASTA A DIVISION OF TIG     </t>
  </si>
  <si>
    <t>RICE   PASTA A DIVISION OF TIG</t>
  </si>
  <si>
    <t>Suprise</t>
  </si>
  <si>
    <t xml:space="preserve">ETVAAL MEUBELVERVAARDIGERS         </t>
  </si>
  <si>
    <t>ETVAAL MEUBELVERVAARDIGERS 082</t>
  </si>
  <si>
    <t>Zanomzi</t>
  </si>
  <si>
    <t xml:space="preserve">Mahlatse                      </t>
  </si>
  <si>
    <t>asanda</t>
  </si>
  <si>
    <t>rozanal</t>
  </si>
  <si>
    <t>Lee anne</t>
  </si>
  <si>
    <t xml:space="preserve">VUKANI                        </t>
  </si>
  <si>
    <t xml:space="preserve">POD received from cell 0682690407 M     </t>
  </si>
  <si>
    <t>lee anne</t>
  </si>
  <si>
    <t>nivan</t>
  </si>
  <si>
    <t>lester</t>
  </si>
  <si>
    <t xml:space="preserve">Marcu                         </t>
  </si>
  <si>
    <t xml:space="preserve">DEVCOTECH JHB - LE ROUX AVE        </t>
  </si>
  <si>
    <t>DEVCOTECH JHB - LE ROUX AVE</t>
  </si>
  <si>
    <t xml:space="preserve">MCCAIN FOODS SOUTH AFRICA          </t>
  </si>
  <si>
    <t>0119175642</t>
  </si>
  <si>
    <t xml:space="preserve">HG Molenaar                        </t>
  </si>
  <si>
    <t>Mellissa</t>
  </si>
  <si>
    <t xml:space="preserve">IL VAUGHAN INDUSTRIAL CC           </t>
  </si>
  <si>
    <t>IL VAUGHAN INDUSTRIAL CC</t>
  </si>
  <si>
    <t>yandiswa</t>
  </si>
  <si>
    <t xml:space="preserve">HOT PLATINUM PTY                   </t>
  </si>
  <si>
    <t>HOT PLATINUM PTY</t>
  </si>
  <si>
    <t xml:space="preserve">CSIR PRETORIA- BUILDING 46F PH     </t>
  </si>
  <si>
    <t>CSIR PRETORIA- BUILDING 46F PH</t>
  </si>
  <si>
    <t>ROSE</t>
  </si>
  <si>
    <t xml:space="preserve">KRUGER DUXBURY SOLUTION    T A     </t>
  </si>
  <si>
    <t>KRUGER DUXBURY SOLUTION    T A</t>
  </si>
  <si>
    <t>Imka</t>
  </si>
  <si>
    <t>Adrian</t>
  </si>
  <si>
    <t>J Steyn</t>
  </si>
  <si>
    <t>cambridge</t>
  </si>
  <si>
    <t xml:space="preserve">ISOWAL SA (PTY) LTD                </t>
  </si>
  <si>
    <t>ISOWAL SA  PTY  LTD</t>
  </si>
  <si>
    <t>JANUARY</t>
  </si>
  <si>
    <t>shaan</t>
  </si>
  <si>
    <t>Bertha</t>
  </si>
  <si>
    <t>Ansen</t>
  </si>
  <si>
    <t xml:space="preserve">GRINDING TECHNIQUES PTY LTD        </t>
  </si>
  <si>
    <t>GRINDING TECHNIQUES</t>
  </si>
  <si>
    <t>FES CUST 20251028 51 - BACK TO CUSTOMER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</si>
</sst>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E22B-B2B1-48D0-984D-2B9F986C685F}">
  <dimension ref="A1:CN3543"/>
  <sheetViews>
    <sheetView tabSelected="1" topLeftCell="A3533" workbookViewId="0">
      <selection activeCell="A3544" sqref="A3544:XFD4744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"080011636294"</f>
        <v>080011636294</v>
      </c>
      <c r="F2" s="3">
        <v>45931</v>
      </c>
      <c r="G2">
        <v>202607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"Gift incorrect items          "</f>
        <v xml:space="preserve">Gift incorrect items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17.46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4.8</v>
      </c>
      <c r="BJ2">
        <v>4.3</v>
      </c>
      <c r="BK2">
        <v>5</v>
      </c>
      <c r="BL2">
        <v>55.42</v>
      </c>
      <c r="BM2">
        <v>8.31</v>
      </c>
      <c r="BN2">
        <v>63.73</v>
      </c>
      <c r="BO2">
        <v>63.73</v>
      </c>
      <c r="BQ2" t="s">
        <v>83</v>
      </c>
      <c r="BR2" t="s">
        <v>84</v>
      </c>
      <c r="BS2" s="3">
        <v>45932</v>
      </c>
      <c r="BT2" s="4">
        <v>0.39513888888888887</v>
      </c>
      <c r="BU2" t="s">
        <v>85</v>
      </c>
      <c r="BV2" t="s">
        <v>86</v>
      </c>
      <c r="BY2">
        <v>21610.880000000001</v>
      </c>
      <c r="BZ2" t="s">
        <v>87</v>
      </c>
      <c r="CA2" t="s">
        <v>88</v>
      </c>
      <c r="CC2" t="s">
        <v>80</v>
      </c>
      <c r="CD2">
        <v>1619</v>
      </c>
      <c r="CE2" t="s">
        <v>89</v>
      </c>
      <c r="CF2" s="3">
        <v>45932</v>
      </c>
      <c r="CI2">
        <v>1</v>
      </c>
      <c r="CJ2">
        <v>1</v>
      </c>
      <c r="CK2">
        <v>22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"080068234821"</f>
        <v>080068234821</v>
      </c>
      <c r="F3" s="3">
        <v>45931</v>
      </c>
      <c r="G3">
        <v>202607</v>
      </c>
      <c r="H3" t="s">
        <v>79</v>
      </c>
      <c r="I3" t="s">
        <v>80</v>
      </c>
      <c r="J3" t="s">
        <v>91</v>
      </c>
      <c r="K3" t="s">
        <v>78</v>
      </c>
      <c r="L3" t="s">
        <v>92</v>
      </c>
      <c r="M3" t="s">
        <v>93</v>
      </c>
      <c r="N3" t="s">
        <v>94</v>
      </c>
      <c r="O3" t="s">
        <v>95</v>
      </c>
      <c r="P3" t="str">
        <f>"4170062448                    "</f>
        <v xml:space="preserve">4170062448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71.790000000000006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12</v>
      </c>
      <c r="BJ3">
        <v>30.9</v>
      </c>
      <c r="BK3">
        <v>31</v>
      </c>
      <c r="BL3">
        <v>233.72</v>
      </c>
      <c r="BM3">
        <v>35.06</v>
      </c>
      <c r="BN3">
        <v>268.77999999999997</v>
      </c>
      <c r="BO3">
        <v>268.77999999999997</v>
      </c>
      <c r="BQ3" t="s">
        <v>96</v>
      </c>
      <c r="BR3" t="s">
        <v>97</v>
      </c>
      <c r="BS3" s="3">
        <v>45932</v>
      </c>
      <c r="BT3" s="4">
        <v>0.63194444444444442</v>
      </c>
      <c r="BU3" t="s">
        <v>98</v>
      </c>
      <c r="BV3" t="s">
        <v>86</v>
      </c>
      <c r="BY3">
        <v>154560</v>
      </c>
      <c r="BZ3" t="s">
        <v>99</v>
      </c>
      <c r="CA3" t="s">
        <v>100</v>
      </c>
      <c r="CC3" t="s">
        <v>93</v>
      </c>
      <c r="CD3">
        <v>3201</v>
      </c>
      <c r="CE3" t="s">
        <v>101</v>
      </c>
      <c r="CF3" s="3">
        <v>45932</v>
      </c>
      <c r="CI3">
        <v>2</v>
      </c>
      <c r="CJ3">
        <v>1</v>
      </c>
      <c r="CK3">
        <v>41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"080068235753"</f>
        <v>080068235753</v>
      </c>
      <c r="F4" s="3">
        <v>45931</v>
      </c>
      <c r="G4">
        <v>202607</v>
      </c>
      <c r="H4" t="s">
        <v>79</v>
      </c>
      <c r="I4" t="s">
        <v>80</v>
      </c>
      <c r="J4" t="s">
        <v>91</v>
      </c>
      <c r="K4" t="s">
        <v>78</v>
      </c>
      <c r="L4" t="s">
        <v>102</v>
      </c>
      <c r="M4" t="s">
        <v>103</v>
      </c>
      <c r="N4" t="s">
        <v>104</v>
      </c>
      <c r="O4" t="s">
        <v>82</v>
      </c>
      <c r="P4" t="str">
        <f>"4170062350                    "</f>
        <v xml:space="preserve">4170062350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17.46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2.1</v>
      </c>
      <c r="BK4">
        <v>3</v>
      </c>
      <c r="BL4">
        <v>55.42</v>
      </c>
      <c r="BM4">
        <v>8.31</v>
      </c>
      <c r="BN4">
        <v>63.73</v>
      </c>
      <c r="BO4">
        <v>63.73</v>
      </c>
      <c r="BQ4" t="s">
        <v>105</v>
      </c>
      <c r="BR4" t="s">
        <v>97</v>
      </c>
      <c r="BS4" s="3">
        <v>45932</v>
      </c>
      <c r="BT4" s="4">
        <v>0.39513888888888887</v>
      </c>
      <c r="BU4" t="s">
        <v>106</v>
      </c>
      <c r="BV4" t="s">
        <v>86</v>
      </c>
      <c r="BY4">
        <v>10416</v>
      </c>
      <c r="BZ4" t="s">
        <v>87</v>
      </c>
      <c r="CC4" t="s">
        <v>103</v>
      </c>
      <c r="CD4">
        <v>1451</v>
      </c>
      <c r="CE4" t="s">
        <v>107</v>
      </c>
      <c r="CF4" s="3">
        <v>45933</v>
      </c>
      <c r="CI4">
        <v>1</v>
      </c>
      <c r="CJ4">
        <v>1</v>
      </c>
      <c r="CK4">
        <v>22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"080068235796"</f>
        <v>080068235796</v>
      </c>
      <c r="F5" s="3">
        <v>45931</v>
      </c>
      <c r="G5">
        <v>202607</v>
      </c>
      <c r="H5" t="s">
        <v>79</v>
      </c>
      <c r="I5" t="s">
        <v>80</v>
      </c>
      <c r="J5" t="s">
        <v>91</v>
      </c>
      <c r="K5" t="s">
        <v>78</v>
      </c>
      <c r="L5" t="s">
        <v>108</v>
      </c>
      <c r="M5" t="s">
        <v>109</v>
      </c>
      <c r="N5" t="s">
        <v>110</v>
      </c>
      <c r="O5" t="s">
        <v>82</v>
      </c>
      <c r="P5" t="str">
        <f>"4170062415                    "</f>
        <v xml:space="preserve">4170062415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27.94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2.4</v>
      </c>
      <c r="BK5">
        <v>2.5</v>
      </c>
      <c r="BL5">
        <v>88.68</v>
      </c>
      <c r="BM5">
        <v>13.3</v>
      </c>
      <c r="BN5">
        <v>101.98</v>
      </c>
      <c r="BO5">
        <v>101.98</v>
      </c>
      <c r="BQ5" t="s">
        <v>111</v>
      </c>
      <c r="BR5" t="s">
        <v>97</v>
      </c>
      <c r="BS5" s="3">
        <v>45932</v>
      </c>
      <c r="BT5" s="4">
        <v>0.33194444444444443</v>
      </c>
      <c r="BU5" t="s">
        <v>112</v>
      </c>
      <c r="BV5" t="s">
        <v>86</v>
      </c>
      <c r="BY5">
        <v>11832</v>
      </c>
      <c r="BZ5" t="s">
        <v>87</v>
      </c>
      <c r="CA5" t="s">
        <v>113</v>
      </c>
      <c r="CC5" t="s">
        <v>109</v>
      </c>
      <c r="CD5">
        <v>6045</v>
      </c>
      <c r="CE5" t="s">
        <v>107</v>
      </c>
      <c r="CF5" s="3">
        <v>45932</v>
      </c>
      <c r="CI5">
        <v>1</v>
      </c>
      <c r="CJ5">
        <v>1</v>
      </c>
      <c r="CK5">
        <v>21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"080068235858"</f>
        <v>080068235858</v>
      </c>
      <c r="F6" s="3">
        <v>45931</v>
      </c>
      <c r="G6">
        <v>202607</v>
      </c>
      <c r="H6" t="s">
        <v>79</v>
      </c>
      <c r="I6" t="s">
        <v>80</v>
      </c>
      <c r="J6" t="s">
        <v>91</v>
      </c>
      <c r="K6" t="s">
        <v>78</v>
      </c>
      <c r="L6" t="s">
        <v>114</v>
      </c>
      <c r="M6" t="s">
        <v>115</v>
      </c>
      <c r="N6" t="s">
        <v>116</v>
      </c>
      <c r="O6" t="s">
        <v>82</v>
      </c>
      <c r="P6" t="str">
        <f>"4170062335                    "</f>
        <v xml:space="preserve">4170062335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22.36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70.959999999999994</v>
      </c>
      <c r="BM6">
        <v>10.64</v>
      </c>
      <c r="BN6">
        <v>81.599999999999994</v>
      </c>
      <c r="BO6">
        <v>81.599999999999994</v>
      </c>
      <c r="BQ6" t="s">
        <v>117</v>
      </c>
      <c r="BR6" t="s">
        <v>97</v>
      </c>
      <c r="BS6" s="3">
        <v>45932</v>
      </c>
      <c r="BT6" s="4">
        <v>0.6479166666666667</v>
      </c>
      <c r="BU6" t="s">
        <v>118</v>
      </c>
      <c r="BV6" t="s">
        <v>90</v>
      </c>
      <c r="BY6">
        <v>1200</v>
      </c>
      <c r="BZ6" t="s">
        <v>87</v>
      </c>
      <c r="CA6" t="s">
        <v>119</v>
      </c>
      <c r="CC6" t="s">
        <v>115</v>
      </c>
      <c r="CD6">
        <v>5200</v>
      </c>
      <c r="CE6" t="s">
        <v>120</v>
      </c>
      <c r="CF6" s="3">
        <v>45933</v>
      </c>
      <c r="CI6">
        <v>1</v>
      </c>
      <c r="CJ6">
        <v>1</v>
      </c>
      <c r="CK6">
        <v>21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"080068235904"</f>
        <v>080068235904</v>
      </c>
      <c r="F7" s="3">
        <v>45931</v>
      </c>
      <c r="G7">
        <v>202607</v>
      </c>
      <c r="H7" t="s">
        <v>79</v>
      </c>
      <c r="I7" t="s">
        <v>80</v>
      </c>
      <c r="J7" t="s">
        <v>91</v>
      </c>
      <c r="K7" t="s">
        <v>78</v>
      </c>
      <c r="L7" t="s">
        <v>121</v>
      </c>
      <c r="M7" t="s">
        <v>122</v>
      </c>
      <c r="N7" t="s">
        <v>123</v>
      </c>
      <c r="O7" t="s">
        <v>82</v>
      </c>
      <c r="P7" t="str">
        <f>"4170062434                    "</f>
        <v xml:space="preserve">4170062434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22.36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70.959999999999994</v>
      </c>
      <c r="BM7">
        <v>10.64</v>
      </c>
      <c r="BN7">
        <v>81.599999999999994</v>
      </c>
      <c r="BO7">
        <v>81.599999999999994</v>
      </c>
      <c r="BQ7" t="s">
        <v>124</v>
      </c>
      <c r="BR7" t="s">
        <v>97</v>
      </c>
      <c r="BS7" s="3">
        <v>45932</v>
      </c>
      <c r="BT7" s="4">
        <v>0.33819444444444446</v>
      </c>
      <c r="BU7" t="s">
        <v>125</v>
      </c>
      <c r="BV7" t="s">
        <v>86</v>
      </c>
      <c r="BY7">
        <v>1200</v>
      </c>
      <c r="BZ7" t="s">
        <v>87</v>
      </c>
      <c r="CA7" t="s">
        <v>126</v>
      </c>
      <c r="CC7" t="s">
        <v>122</v>
      </c>
      <c r="CD7">
        <v>4051</v>
      </c>
      <c r="CE7" t="s">
        <v>120</v>
      </c>
      <c r="CF7" s="3">
        <v>45932</v>
      </c>
      <c r="CI7">
        <v>1</v>
      </c>
      <c r="CJ7">
        <v>1</v>
      </c>
      <c r="CK7">
        <v>21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"080068235967"</f>
        <v>080068235967</v>
      </c>
      <c r="F8" s="3">
        <v>45931</v>
      </c>
      <c r="G8">
        <v>202607</v>
      </c>
      <c r="H8" t="s">
        <v>79</v>
      </c>
      <c r="I8" t="s">
        <v>80</v>
      </c>
      <c r="J8" t="s">
        <v>91</v>
      </c>
      <c r="K8" t="s">
        <v>78</v>
      </c>
      <c r="L8" t="s">
        <v>127</v>
      </c>
      <c r="M8" t="s">
        <v>128</v>
      </c>
      <c r="N8" t="s">
        <v>129</v>
      </c>
      <c r="O8" t="s">
        <v>82</v>
      </c>
      <c r="P8" t="str">
        <f>"4170062428                    "</f>
        <v xml:space="preserve">4170062428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43.31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137.47</v>
      </c>
      <c r="BM8">
        <v>20.62</v>
      </c>
      <c r="BN8">
        <v>158.09</v>
      </c>
      <c r="BO8">
        <v>158.09</v>
      </c>
      <c r="BQ8" t="s">
        <v>130</v>
      </c>
      <c r="BR8" t="s">
        <v>97</v>
      </c>
      <c r="BS8" s="3">
        <v>45932</v>
      </c>
      <c r="BT8" s="4">
        <v>0.42430555555555555</v>
      </c>
      <c r="BU8" t="s">
        <v>131</v>
      </c>
      <c r="BV8" t="s">
        <v>86</v>
      </c>
      <c r="BY8">
        <v>1200</v>
      </c>
      <c r="BZ8" t="s">
        <v>87</v>
      </c>
      <c r="CA8" t="s">
        <v>132</v>
      </c>
      <c r="CC8" t="s">
        <v>128</v>
      </c>
      <c r="CD8">
        <v>2571</v>
      </c>
      <c r="CE8" t="s">
        <v>120</v>
      </c>
      <c r="CF8" s="3">
        <v>45933</v>
      </c>
      <c r="CI8">
        <v>1</v>
      </c>
      <c r="CJ8">
        <v>1</v>
      </c>
      <c r="CK8">
        <v>23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"080068236300"</f>
        <v>080068236300</v>
      </c>
      <c r="F9" s="3">
        <v>45931</v>
      </c>
      <c r="G9">
        <v>202607</v>
      </c>
      <c r="H9" t="s">
        <v>79</v>
      </c>
      <c r="I9" t="s">
        <v>80</v>
      </c>
      <c r="J9" t="s">
        <v>91</v>
      </c>
      <c r="K9" t="s">
        <v>78</v>
      </c>
      <c r="L9" t="s">
        <v>121</v>
      </c>
      <c r="M9" t="s">
        <v>122</v>
      </c>
      <c r="N9" t="s">
        <v>133</v>
      </c>
      <c r="O9" t="s">
        <v>82</v>
      </c>
      <c r="P9" t="str">
        <f>"4170062348                    "</f>
        <v xml:space="preserve">4170062348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22.36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0.9</v>
      </c>
      <c r="BK9">
        <v>1</v>
      </c>
      <c r="BL9">
        <v>70.959999999999994</v>
      </c>
      <c r="BM9">
        <v>10.64</v>
      </c>
      <c r="BN9">
        <v>81.599999999999994</v>
      </c>
      <c r="BO9">
        <v>81.599999999999994</v>
      </c>
      <c r="BQ9" t="s">
        <v>134</v>
      </c>
      <c r="BR9" t="s">
        <v>97</v>
      </c>
      <c r="BS9" s="3">
        <v>45932</v>
      </c>
      <c r="BT9" s="4">
        <v>0.5625</v>
      </c>
      <c r="BU9" t="s">
        <v>135</v>
      </c>
      <c r="BV9" t="s">
        <v>90</v>
      </c>
      <c r="BW9" t="s">
        <v>136</v>
      </c>
      <c r="BX9" t="s">
        <v>137</v>
      </c>
      <c r="BY9">
        <v>4275</v>
      </c>
      <c r="BZ9" t="s">
        <v>87</v>
      </c>
      <c r="CA9" t="s">
        <v>138</v>
      </c>
      <c r="CC9" t="s">
        <v>122</v>
      </c>
      <c r="CD9">
        <v>4001</v>
      </c>
      <c r="CE9" t="s">
        <v>101</v>
      </c>
      <c r="CF9" s="3">
        <v>45933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"080068236370"</f>
        <v>080068236370</v>
      </c>
      <c r="F10" s="3">
        <v>45931</v>
      </c>
      <c r="G10">
        <v>202607</v>
      </c>
      <c r="H10" t="s">
        <v>79</v>
      </c>
      <c r="I10" t="s">
        <v>80</v>
      </c>
      <c r="J10" t="s">
        <v>91</v>
      </c>
      <c r="K10" t="s">
        <v>78</v>
      </c>
      <c r="L10" t="s">
        <v>108</v>
      </c>
      <c r="M10" t="s">
        <v>109</v>
      </c>
      <c r="N10" t="s">
        <v>139</v>
      </c>
      <c r="O10" t="s">
        <v>82</v>
      </c>
      <c r="P10" t="str">
        <f>"4170062408                    "</f>
        <v xml:space="preserve">4170062408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22.36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70.959999999999994</v>
      </c>
      <c r="BM10">
        <v>10.64</v>
      </c>
      <c r="BN10">
        <v>81.599999999999994</v>
      </c>
      <c r="BO10">
        <v>81.599999999999994</v>
      </c>
      <c r="BQ10" t="s">
        <v>140</v>
      </c>
      <c r="BR10" t="s">
        <v>97</v>
      </c>
      <c r="BS10" s="3">
        <v>45932</v>
      </c>
      <c r="BT10" s="4">
        <v>0.41944444444444445</v>
      </c>
      <c r="BU10" t="s">
        <v>141</v>
      </c>
      <c r="BV10" t="s">
        <v>86</v>
      </c>
      <c r="BY10">
        <v>1200</v>
      </c>
      <c r="BZ10" t="s">
        <v>87</v>
      </c>
      <c r="CA10" t="s">
        <v>142</v>
      </c>
      <c r="CC10" t="s">
        <v>109</v>
      </c>
      <c r="CD10">
        <v>6001</v>
      </c>
      <c r="CE10" t="s">
        <v>120</v>
      </c>
      <c r="CF10" s="3">
        <v>45932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"080068236488"</f>
        <v>080068236488</v>
      </c>
      <c r="F11" s="3">
        <v>45931</v>
      </c>
      <c r="G11">
        <v>202607</v>
      </c>
      <c r="H11" t="s">
        <v>79</v>
      </c>
      <c r="I11" t="s">
        <v>80</v>
      </c>
      <c r="J11" t="s">
        <v>91</v>
      </c>
      <c r="K11" t="s">
        <v>78</v>
      </c>
      <c r="L11" t="s">
        <v>92</v>
      </c>
      <c r="M11" t="s">
        <v>93</v>
      </c>
      <c r="N11" t="s">
        <v>143</v>
      </c>
      <c r="O11" t="s">
        <v>82</v>
      </c>
      <c r="P11" t="str">
        <f>"4170062357                    "</f>
        <v xml:space="preserve">4170062357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27.94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2.4</v>
      </c>
      <c r="BK11">
        <v>2.5</v>
      </c>
      <c r="BL11">
        <v>88.68</v>
      </c>
      <c r="BM11">
        <v>13.3</v>
      </c>
      <c r="BN11">
        <v>101.98</v>
      </c>
      <c r="BO11">
        <v>101.98</v>
      </c>
      <c r="BQ11" t="s">
        <v>144</v>
      </c>
      <c r="BR11" t="s">
        <v>97</v>
      </c>
      <c r="BS11" s="3">
        <v>45938</v>
      </c>
      <c r="BT11" s="4">
        <v>0.45</v>
      </c>
      <c r="BU11" t="s">
        <v>145</v>
      </c>
      <c r="BV11" t="s">
        <v>90</v>
      </c>
      <c r="BY11">
        <v>12000</v>
      </c>
      <c r="CA11" t="s">
        <v>146</v>
      </c>
      <c r="CC11" t="s">
        <v>93</v>
      </c>
      <c r="CD11">
        <v>3200</v>
      </c>
      <c r="CE11" t="s">
        <v>147</v>
      </c>
      <c r="CF11" s="3">
        <v>45939</v>
      </c>
      <c r="CI11">
        <v>1</v>
      </c>
      <c r="CJ11">
        <v>5</v>
      </c>
      <c r="CK11">
        <v>21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"080068236580"</f>
        <v>080068236580</v>
      </c>
      <c r="F12" s="3">
        <v>45931</v>
      </c>
      <c r="G12">
        <v>202607</v>
      </c>
      <c r="H12" t="s">
        <v>79</v>
      </c>
      <c r="I12" t="s">
        <v>80</v>
      </c>
      <c r="J12" t="s">
        <v>91</v>
      </c>
      <c r="K12" t="s">
        <v>78</v>
      </c>
      <c r="L12" t="s">
        <v>148</v>
      </c>
      <c r="M12" t="s">
        <v>149</v>
      </c>
      <c r="N12" t="s">
        <v>150</v>
      </c>
      <c r="O12" t="s">
        <v>82</v>
      </c>
      <c r="P12" t="str">
        <f>"4170062356                    "</f>
        <v xml:space="preserve">4170062356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17.46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55.42</v>
      </c>
      <c r="BM12">
        <v>8.31</v>
      </c>
      <c r="BN12">
        <v>63.73</v>
      </c>
      <c r="BO12">
        <v>63.73</v>
      </c>
      <c r="BQ12" t="s">
        <v>151</v>
      </c>
      <c r="BR12" t="s">
        <v>97</v>
      </c>
      <c r="BS12" s="3">
        <v>45932</v>
      </c>
      <c r="BT12" s="4">
        <v>0.41736111111111113</v>
      </c>
      <c r="BU12" t="s">
        <v>152</v>
      </c>
      <c r="BV12" t="s">
        <v>86</v>
      </c>
      <c r="BY12">
        <v>1200</v>
      </c>
      <c r="BZ12" t="s">
        <v>87</v>
      </c>
      <c r="CA12" t="s">
        <v>153</v>
      </c>
      <c r="CC12" t="s">
        <v>149</v>
      </c>
      <c r="CD12">
        <v>2013</v>
      </c>
      <c r="CE12" t="s">
        <v>120</v>
      </c>
      <c r="CF12" s="3">
        <v>45932</v>
      </c>
      <c r="CI12">
        <v>1</v>
      </c>
      <c r="CJ12">
        <v>1</v>
      </c>
      <c r="CK12">
        <v>22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"080068236823"</f>
        <v>080068236823</v>
      </c>
      <c r="F13" s="3">
        <v>45931</v>
      </c>
      <c r="G13">
        <v>202607</v>
      </c>
      <c r="H13" t="s">
        <v>79</v>
      </c>
      <c r="I13" t="s">
        <v>80</v>
      </c>
      <c r="J13" t="s">
        <v>91</v>
      </c>
      <c r="K13" t="s">
        <v>78</v>
      </c>
      <c r="L13" t="s">
        <v>121</v>
      </c>
      <c r="M13" t="s">
        <v>122</v>
      </c>
      <c r="N13" t="s">
        <v>154</v>
      </c>
      <c r="O13" t="s">
        <v>82</v>
      </c>
      <c r="P13" t="str">
        <f>"4170062383                    "</f>
        <v xml:space="preserve">4170062383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22.36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70.959999999999994</v>
      </c>
      <c r="BM13">
        <v>10.64</v>
      </c>
      <c r="BN13">
        <v>81.599999999999994</v>
      </c>
      <c r="BO13">
        <v>81.599999999999994</v>
      </c>
      <c r="BQ13" t="s">
        <v>155</v>
      </c>
      <c r="BR13" t="s">
        <v>97</v>
      </c>
      <c r="BS13" s="3">
        <v>45932</v>
      </c>
      <c r="BT13" s="4">
        <v>0.35416666666666669</v>
      </c>
      <c r="BU13" t="s">
        <v>156</v>
      </c>
      <c r="BV13" t="s">
        <v>86</v>
      </c>
      <c r="BY13">
        <v>1200</v>
      </c>
      <c r="BZ13" t="s">
        <v>87</v>
      </c>
      <c r="CA13" t="s">
        <v>157</v>
      </c>
      <c r="CC13" t="s">
        <v>122</v>
      </c>
      <c r="CD13">
        <v>4052</v>
      </c>
      <c r="CE13" t="s">
        <v>120</v>
      </c>
      <c r="CF13" s="3">
        <v>45932</v>
      </c>
      <c r="CI13">
        <v>1</v>
      </c>
      <c r="CJ13">
        <v>1</v>
      </c>
      <c r="CK13">
        <v>21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"080068237024"</f>
        <v>080068237024</v>
      </c>
      <c r="F14" s="3">
        <v>45931</v>
      </c>
      <c r="G14">
        <v>202607</v>
      </c>
      <c r="H14" t="s">
        <v>79</v>
      </c>
      <c r="I14" t="s">
        <v>80</v>
      </c>
      <c r="J14" t="s">
        <v>91</v>
      </c>
      <c r="K14" t="s">
        <v>78</v>
      </c>
      <c r="L14" t="s">
        <v>121</v>
      </c>
      <c r="M14" t="s">
        <v>122</v>
      </c>
      <c r="N14" t="s">
        <v>154</v>
      </c>
      <c r="O14" t="s">
        <v>82</v>
      </c>
      <c r="P14" t="str">
        <f>"4170062395                    "</f>
        <v xml:space="preserve">4170062395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22.36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70.959999999999994</v>
      </c>
      <c r="BM14">
        <v>10.64</v>
      </c>
      <c r="BN14">
        <v>81.599999999999994</v>
      </c>
      <c r="BO14">
        <v>81.599999999999994</v>
      </c>
      <c r="BQ14" t="s">
        <v>155</v>
      </c>
      <c r="BR14" t="s">
        <v>97</v>
      </c>
      <c r="BS14" s="3">
        <v>45932</v>
      </c>
      <c r="BT14" s="4">
        <v>0.37222222222222223</v>
      </c>
      <c r="BU14" t="s">
        <v>158</v>
      </c>
      <c r="BV14" t="s">
        <v>86</v>
      </c>
      <c r="BY14">
        <v>1200</v>
      </c>
      <c r="BZ14" t="s">
        <v>87</v>
      </c>
      <c r="CA14" t="s">
        <v>157</v>
      </c>
      <c r="CC14" t="s">
        <v>122</v>
      </c>
      <c r="CD14">
        <v>4052</v>
      </c>
      <c r="CE14" t="s">
        <v>120</v>
      </c>
      <c r="CF14" s="3">
        <v>45932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"080068237135"</f>
        <v>080068237135</v>
      </c>
      <c r="F15" s="3">
        <v>45931</v>
      </c>
      <c r="G15">
        <v>202607</v>
      </c>
      <c r="H15" t="s">
        <v>79</v>
      </c>
      <c r="I15" t="s">
        <v>80</v>
      </c>
      <c r="J15" t="s">
        <v>91</v>
      </c>
      <c r="K15" t="s">
        <v>78</v>
      </c>
      <c r="L15" t="s">
        <v>121</v>
      </c>
      <c r="M15" t="s">
        <v>122</v>
      </c>
      <c r="N15" t="s">
        <v>159</v>
      </c>
      <c r="O15" t="s">
        <v>82</v>
      </c>
      <c r="P15" t="str">
        <f>"4170062435                    "</f>
        <v xml:space="preserve">4170062435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22.36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70.959999999999994</v>
      </c>
      <c r="BM15">
        <v>10.64</v>
      </c>
      <c r="BN15">
        <v>81.599999999999994</v>
      </c>
      <c r="BO15">
        <v>81.599999999999994</v>
      </c>
      <c r="BQ15" t="s">
        <v>160</v>
      </c>
      <c r="BR15" t="s">
        <v>97</v>
      </c>
      <c r="BS15" s="3">
        <v>45932</v>
      </c>
      <c r="BT15" s="4">
        <v>0.55277777777777781</v>
      </c>
      <c r="BU15" t="s">
        <v>161</v>
      </c>
      <c r="BV15" t="s">
        <v>90</v>
      </c>
      <c r="BW15" t="s">
        <v>136</v>
      </c>
      <c r="BX15" t="s">
        <v>137</v>
      </c>
      <c r="BY15">
        <v>1200</v>
      </c>
      <c r="BZ15" t="s">
        <v>87</v>
      </c>
      <c r="CA15" t="s">
        <v>138</v>
      </c>
      <c r="CC15" t="s">
        <v>122</v>
      </c>
      <c r="CD15">
        <v>4000</v>
      </c>
      <c r="CE15" t="s">
        <v>162</v>
      </c>
      <c r="CF15" s="3">
        <v>45933</v>
      </c>
      <c r="CI15">
        <v>1</v>
      </c>
      <c r="CJ15">
        <v>1</v>
      </c>
      <c r="CK15">
        <v>21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"080068237669"</f>
        <v>080068237669</v>
      </c>
      <c r="F16" s="3">
        <v>45931</v>
      </c>
      <c r="G16">
        <v>202607</v>
      </c>
      <c r="H16" t="s">
        <v>79</v>
      </c>
      <c r="I16" t="s">
        <v>80</v>
      </c>
      <c r="J16" t="s">
        <v>91</v>
      </c>
      <c r="K16" t="s">
        <v>78</v>
      </c>
      <c r="L16" t="s">
        <v>79</v>
      </c>
      <c r="M16" t="s">
        <v>80</v>
      </c>
      <c r="N16" t="s">
        <v>163</v>
      </c>
      <c r="O16" t="s">
        <v>95</v>
      </c>
      <c r="P16" t="str">
        <f>"4170062391                    "</f>
        <v xml:space="preserve">4170062391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47.99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2</v>
      </c>
      <c r="BI16">
        <v>18</v>
      </c>
      <c r="BJ16">
        <v>29.5</v>
      </c>
      <c r="BK16">
        <v>30</v>
      </c>
      <c r="BL16">
        <v>158.18</v>
      </c>
      <c r="BM16">
        <v>23.73</v>
      </c>
      <c r="BN16">
        <v>181.91</v>
      </c>
      <c r="BO16">
        <v>181.91</v>
      </c>
      <c r="BQ16" t="s">
        <v>164</v>
      </c>
      <c r="BR16" t="s">
        <v>97</v>
      </c>
      <c r="BS16" s="3">
        <v>45932</v>
      </c>
      <c r="BT16" s="4">
        <v>0.35416666666666669</v>
      </c>
      <c r="BU16" t="s">
        <v>165</v>
      </c>
      <c r="BV16" t="s">
        <v>86</v>
      </c>
      <c r="BY16">
        <v>73644</v>
      </c>
      <c r="BZ16" t="s">
        <v>99</v>
      </c>
      <c r="CA16" t="s">
        <v>166</v>
      </c>
      <c r="CC16" t="s">
        <v>80</v>
      </c>
      <c r="CD16">
        <v>1600</v>
      </c>
      <c r="CE16" t="s">
        <v>167</v>
      </c>
      <c r="CF16" s="3">
        <v>45933</v>
      </c>
      <c r="CI16">
        <v>1</v>
      </c>
      <c r="CJ16">
        <v>1</v>
      </c>
      <c r="CK16">
        <v>42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"080068237715"</f>
        <v>080068237715</v>
      </c>
      <c r="F17" s="3">
        <v>45931</v>
      </c>
      <c r="G17">
        <v>202607</v>
      </c>
      <c r="H17" t="s">
        <v>79</v>
      </c>
      <c r="I17" t="s">
        <v>80</v>
      </c>
      <c r="J17" t="s">
        <v>91</v>
      </c>
      <c r="K17" t="s">
        <v>78</v>
      </c>
      <c r="L17" t="s">
        <v>168</v>
      </c>
      <c r="M17" t="s">
        <v>169</v>
      </c>
      <c r="N17" t="s">
        <v>170</v>
      </c>
      <c r="O17" t="s">
        <v>82</v>
      </c>
      <c r="P17" t="str">
        <f>"4170062396                    "</f>
        <v xml:space="preserve">4170062396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22.36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70.959999999999994</v>
      </c>
      <c r="BM17">
        <v>10.64</v>
      </c>
      <c r="BN17">
        <v>81.599999999999994</v>
      </c>
      <c r="BO17">
        <v>81.599999999999994</v>
      </c>
      <c r="BQ17" t="s">
        <v>171</v>
      </c>
      <c r="BR17" t="s">
        <v>97</v>
      </c>
      <c r="BS17" s="3">
        <v>45932</v>
      </c>
      <c r="BT17" s="4">
        <v>0.38333333333333336</v>
      </c>
      <c r="BU17" t="s">
        <v>172</v>
      </c>
      <c r="BV17" t="s">
        <v>86</v>
      </c>
      <c r="BY17">
        <v>1200</v>
      </c>
      <c r="BZ17" t="s">
        <v>87</v>
      </c>
      <c r="CC17" t="s">
        <v>169</v>
      </c>
      <c r="CD17" s="5" t="s">
        <v>173</v>
      </c>
      <c r="CE17" t="s">
        <v>120</v>
      </c>
      <c r="CF17" s="3">
        <v>45932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"080068237885"</f>
        <v>080068237885</v>
      </c>
      <c r="F18" s="3">
        <v>45931</v>
      </c>
      <c r="G18">
        <v>202607</v>
      </c>
      <c r="H18" t="s">
        <v>79</v>
      </c>
      <c r="I18" t="s">
        <v>80</v>
      </c>
      <c r="J18" t="s">
        <v>91</v>
      </c>
      <c r="K18" t="s">
        <v>78</v>
      </c>
      <c r="L18" t="s">
        <v>174</v>
      </c>
      <c r="M18" t="s">
        <v>175</v>
      </c>
      <c r="N18" t="s">
        <v>176</v>
      </c>
      <c r="O18" t="s">
        <v>95</v>
      </c>
      <c r="P18" t="str">
        <f>"4170062413                    "</f>
        <v xml:space="preserve">4170062413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70.42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4</v>
      </c>
      <c r="BI18">
        <v>37</v>
      </c>
      <c r="BJ18">
        <v>52.3</v>
      </c>
      <c r="BK18">
        <v>53</v>
      </c>
      <c r="BL18">
        <v>229.37</v>
      </c>
      <c r="BM18">
        <v>34.409999999999997</v>
      </c>
      <c r="BN18">
        <v>263.77999999999997</v>
      </c>
      <c r="BO18">
        <v>263.77999999999997</v>
      </c>
      <c r="BQ18" t="s">
        <v>177</v>
      </c>
      <c r="BR18" t="s">
        <v>97</v>
      </c>
      <c r="BS18" s="3">
        <v>45932</v>
      </c>
      <c r="BT18" s="4">
        <v>0.4</v>
      </c>
      <c r="BU18" t="s">
        <v>178</v>
      </c>
      <c r="BV18" t="s">
        <v>86</v>
      </c>
      <c r="BY18">
        <v>261524</v>
      </c>
      <c r="BZ18" t="s">
        <v>99</v>
      </c>
      <c r="CA18" t="s">
        <v>179</v>
      </c>
      <c r="CC18" t="s">
        <v>175</v>
      </c>
      <c r="CD18">
        <v>1540</v>
      </c>
      <c r="CE18" t="s">
        <v>107</v>
      </c>
      <c r="CF18" s="3">
        <v>45932</v>
      </c>
      <c r="CI18">
        <v>1</v>
      </c>
      <c r="CJ18">
        <v>1</v>
      </c>
      <c r="CK18">
        <v>42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"080068237937"</f>
        <v>080068237937</v>
      </c>
      <c r="F19" s="3">
        <v>45931</v>
      </c>
      <c r="G19">
        <v>202607</v>
      </c>
      <c r="H19" t="s">
        <v>79</v>
      </c>
      <c r="I19" t="s">
        <v>80</v>
      </c>
      <c r="J19" t="s">
        <v>91</v>
      </c>
      <c r="K19" t="s">
        <v>78</v>
      </c>
      <c r="L19" t="s">
        <v>180</v>
      </c>
      <c r="M19" t="s">
        <v>181</v>
      </c>
      <c r="N19" t="s">
        <v>182</v>
      </c>
      <c r="O19" t="s">
        <v>82</v>
      </c>
      <c r="P19" t="str">
        <f>"4170062384                    "</f>
        <v xml:space="preserve">4170062384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43.31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137.47</v>
      </c>
      <c r="BM19">
        <v>20.62</v>
      </c>
      <c r="BN19">
        <v>158.09</v>
      </c>
      <c r="BO19">
        <v>158.09</v>
      </c>
      <c r="BQ19" t="s">
        <v>183</v>
      </c>
      <c r="BR19" t="s">
        <v>97</v>
      </c>
      <c r="BS19" s="3">
        <v>45932</v>
      </c>
      <c r="BT19" s="4">
        <v>0.45208333333333334</v>
      </c>
      <c r="BU19" t="s">
        <v>184</v>
      </c>
      <c r="BV19" t="s">
        <v>86</v>
      </c>
      <c r="BY19">
        <v>1200</v>
      </c>
      <c r="BZ19" t="s">
        <v>87</v>
      </c>
      <c r="CC19" t="s">
        <v>181</v>
      </c>
      <c r="CD19">
        <v>1028</v>
      </c>
      <c r="CE19" t="s">
        <v>120</v>
      </c>
      <c r="CF19" s="3">
        <v>45932</v>
      </c>
      <c r="CI19">
        <v>1</v>
      </c>
      <c r="CJ19">
        <v>1</v>
      </c>
      <c r="CK19">
        <v>23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"080068237958"</f>
        <v>080068237958</v>
      </c>
      <c r="F20" s="3">
        <v>45931</v>
      </c>
      <c r="G20">
        <v>202607</v>
      </c>
      <c r="H20" t="s">
        <v>79</v>
      </c>
      <c r="I20" t="s">
        <v>80</v>
      </c>
      <c r="J20" t="s">
        <v>91</v>
      </c>
      <c r="K20" t="s">
        <v>78</v>
      </c>
      <c r="L20" t="s">
        <v>168</v>
      </c>
      <c r="M20" t="s">
        <v>169</v>
      </c>
      <c r="N20" t="s">
        <v>185</v>
      </c>
      <c r="O20" t="s">
        <v>95</v>
      </c>
      <c r="P20" t="str">
        <f>"4170062404                    "</f>
        <v xml:space="preserve">4170062404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43.23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4</v>
      </c>
      <c r="BJ20">
        <v>2</v>
      </c>
      <c r="BK20">
        <v>4</v>
      </c>
      <c r="BL20">
        <v>143.08000000000001</v>
      </c>
      <c r="BM20">
        <v>21.46</v>
      </c>
      <c r="BN20">
        <v>164.54</v>
      </c>
      <c r="BO20">
        <v>164.54</v>
      </c>
      <c r="BQ20" t="s">
        <v>186</v>
      </c>
      <c r="BR20" t="s">
        <v>97</v>
      </c>
      <c r="BS20" s="3">
        <v>45933</v>
      </c>
      <c r="BT20" s="4">
        <v>0.55625000000000002</v>
      </c>
      <c r="BU20" t="s">
        <v>187</v>
      </c>
      <c r="BV20" t="s">
        <v>90</v>
      </c>
      <c r="BW20" t="s">
        <v>188</v>
      </c>
      <c r="BX20" t="s">
        <v>189</v>
      </c>
      <c r="BY20">
        <v>9918</v>
      </c>
      <c r="CC20" t="s">
        <v>169</v>
      </c>
      <c r="CD20" s="5" t="s">
        <v>190</v>
      </c>
      <c r="CE20" t="s">
        <v>191</v>
      </c>
      <c r="CF20" s="3">
        <v>45936</v>
      </c>
      <c r="CI20">
        <v>1</v>
      </c>
      <c r="CJ20">
        <v>2</v>
      </c>
      <c r="CK20">
        <v>41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"080068237974"</f>
        <v>080068237974</v>
      </c>
      <c r="F21" s="3">
        <v>45931</v>
      </c>
      <c r="G21">
        <v>202607</v>
      </c>
      <c r="H21" t="s">
        <v>79</v>
      </c>
      <c r="I21" t="s">
        <v>80</v>
      </c>
      <c r="J21" t="s">
        <v>91</v>
      </c>
      <c r="K21" t="s">
        <v>78</v>
      </c>
      <c r="L21" t="s">
        <v>92</v>
      </c>
      <c r="M21" t="s">
        <v>93</v>
      </c>
      <c r="N21" t="s">
        <v>192</v>
      </c>
      <c r="O21" t="s">
        <v>82</v>
      </c>
      <c r="P21" t="str">
        <f>"4170062418                    "</f>
        <v xml:space="preserve">4170062418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22.36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70.959999999999994</v>
      </c>
      <c r="BM21">
        <v>10.64</v>
      </c>
      <c r="BN21">
        <v>81.599999999999994</v>
      </c>
      <c r="BO21">
        <v>81.599999999999994</v>
      </c>
      <c r="BQ21" t="s">
        <v>193</v>
      </c>
      <c r="BR21" t="s">
        <v>97</v>
      </c>
      <c r="BS21" s="3">
        <v>45932</v>
      </c>
      <c r="BT21" s="4">
        <v>0.62708333333333333</v>
      </c>
      <c r="BU21" t="s">
        <v>194</v>
      </c>
      <c r="BV21" t="s">
        <v>90</v>
      </c>
      <c r="BY21">
        <v>1200</v>
      </c>
      <c r="BZ21" t="s">
        <v>87</v>
      </c>
      <c r="CA21" t="s">
        <v>100</v>
      </c>
      <c r="CC21" t="s">
        <v>93</v>
      </c>
      <c r="CD21">
        <v>3201</v>
      </c>
      <c r="CE21" t="s">
        <v>120</v>
      </c>
      <c r="CF21" s="3">
        <v>45932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"080068238000"</f>
        <v>080068238000</v>
      </c>
      <c r="F22" s="3">
        <v>45931</v>
      </c>
      <c r="G22">
        <v>202607</v>
      </c>
      <c r="H22" t="s">
        <v>79</v>
      </c>
      <c r="I22" t="s">
        <v>80</v>
      </c>
      <c r="J22" t="s">
        <v>91</v>
      </c>
      <c r="K22" t="s">
        <v>78</v>
      </c>
      <c r="L22" t="s">
        <v>195</v>
      </c>
      <c r="M22" t="s">
        <v>196</v>
      </c>
      <c r="N22" t="s">
        <v>197</v>
      </c>
      <c r="O22" t="s">
        <v>82</v>
      </c>
      <c r="P22" t="str">
        <f>"4170062420                    "</f>
        <v xml:space="preserve">4170062420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43.31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137.47</v>
      </c>
      <c r="BM22">
        <v>20.62</v>
      </c>
      <c r="BN22">
        <v>158.09</v>
      </c>
      <c r="BO22">
        <v>158.09</v>
      </c>
      <c r="BQ22" t="s">
        <v>198</v>
      </c>
      <c r="BR22" t="s">
        <v>97</v>
      </c>
      <c r="BS22" s="3">
        <v>45932</v>
      </c>
      <c r="BT22" s="4">
        <v>0.4375</v>
      </c>
      <c r="BU22" t="s">
        <v>199</v>
      </c>
      <c r="BV22" t="s">
        <v>86</v>
      </c>
      <c r="BY22">
        <v>1200</v>
      </c>
      <c r="BZ22" t="s">
        <v>87</v>
      </c>
      <c r="CA22" t="s">
        <v>200</v>
      </c>
      <c r="CC22" t="s">
        <v>196</v>
      </c>
      <c r="CD22">
        <v>1900</v>
      </c>
      <c r="CE22" t="s">
        <v>120</v>
      </c>
      <c r="CF22" s="3">
        <v>45932</v>
      </c>
      <c r="CI22">
        <v>1</v>
      </c>
      <c r="CJ22">
        <v>1</v>
      </c>
      <c r="CK22">
        <v>23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"080068238022"</f>
        <v>080068238022</v>
      </c>
      <c r="F23" s="3">
        <v>45931</v>
      </c>
      <c r="G23">
        <v>202607</v>
      </c>
      <c r="H23" t="s">
        <v>79</v>
      </c>
      <c r="I23" t="s">
        <v>80</v>
      </c>
      <c r="J23" t="s">
        <v>91</v>
      </c>
      <c r="K23" t="s">
        <v>78</v>
      </c>
      <c r="L23" t="s">
        <v>121</v>
      </c>
      <c r="M23" t="s">
        <v>122</v>
      </c>
      <c r="N23" t="s">
        <v>123</v>
      </c>
      <c r="O23" t="s">
        <v>95</v>
      </c>
      <c r="P23" t="str">
        <f>"4170062466                    "</f>
        <v xml:space="preserve">4170062466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73.569999999999993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22</v>
      </c>
      <c r="BJ23">
        <v>31.6</v>
      </c>
      <c r="BK23">
        <v>32</v>
      </c>
      <c r="BL23">
        <v>239.38</v>
      </c>
      <c r="BM23">
        <v>35.909999999999997</v>
      </c>
      <c r="BN23">
        <v>275.29000000000002</v>
      </c>
      <c r="BO23">
        <v>275.29000000000002</v>
      </c>
      <c r="BQ23" t="s">
        <v>124</v>
      </c>
      <c r="BR23" t="s">
        <v>97</v>
      </c>
      <c r="BS23" s="3">
        <v>45932</v>
      </c>
      <c r="BT23" s="4">
        <v>0.42083333333333334</v>
      </c>
      <c r="BU23" t="s">
        <v>201</v>
      </c>
      <c r="BV23" t="s">
        <v>86</v>
      </c>
      <c r="BY23">
        <v>157920</v>
      </c>
      <c r="BZ23" t="s">
        <v>99</v>
      </c>
      <c r="CA23" t="s">
        <v>202</v>
      </c>
      <c r="CC23" t="s">
        <v>122</v>
      </c>
      <c r="CD23">
        <v>4000</v>
      </c>
      <c r="CE23" t="s">
        <v>101</v>
      </c>
      <c r="CF23" s="3">
        <v>45932</v>
      </c>
      <c r="CI23">
        <v>1</v>
      </c>
      <c r="CJ23">
        <v>1</v>
      </c>
      <c r="CK23">
        <v>41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"080068238046"</f>
        <v>080068238046</v>
      </c>
      <c r="F24" s="3">
        <v>45931</v>
      </c>
      <c r="G24">
        <v>202607</v>
      </c>
      <c r="H24" t="s">
        <v>79</v>
      </c>
      <c r="I24" t="s">
        <v>80</v>
      </c>
      <c r="J24" t="s">
        <v>91</v>
      </c>
      <c r="K24" t="s">
        <v>78</v>
      </c>
      <c r="L24" t="s">
        <v>79</v>
      </c>
      <c r="M24" t="s">
        <v>80</v>
      </c>
      <c r="N24" t="s">
        <v>203</v>
      </c>
      <c r="O24" t="s">
        <v>82</v>
      </c>
      <c r="P24" t="str">
        <f>"4170062349                    "</f>
        <v xml:space="preserve">4170062349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17.46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55.42</v>
      </c>
      <c r="BM24">
        <v>8.31</v>
      </c>
      <c r="BN24">
        <v>63.73</v>
      </c>
      <c r="BO24">
        <v>63.73</v>
      </c>
      <c r="BQ24" t="s">
        <v>204</v>
      </c>
      <c r="BR24" t="s">
        <v>97</v>
      </c>
      <c r="BS24" s="3">
        <v>45932</v>
      </c>
      <c r="BT24" s="4">
        <v>0.41041666666666665</v>
      </c>
      <c r="BU24" t="s">
        <v>205</v>
      </c>
      <c r="BV24" t="s">
        <v>86</v>
      </c>
      <c r="BY24">
        <v>1200</v>
      </c>
      <c r="BZ24" t="s">
        <v>87</v>
      </c>
      <c r="CA24" t="s">
        <v>88</v>
      </c>
      <c r="CC24" t="s">
        <v>80</v>
      </c>
      <c r="CD24">
        <v>1600</v>
      </c>
      <c r="CE24" t="s">
        <v>120</v>
      </c>
      <c r="CF24" s="3">
        <v>45932</v>
      </c>
      <c r="CI24">
        <v>1</v>
      </c>
      <c r="CJ24">
        <v>1</v>
      </c>
      <c r="CK24">
        <v>22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"080068238252"</f>
        <v>080068238252</v>
      </c>
      <c r="F25" s="3">
        <v>45931</v>
      </c>
      <c r="G25">
        <v>202607</v>
      </c>
      <c r="H25" t="s">
        <v>79</v>
      </c>
      <c r="I25" t="s">
        <v>80</v>
      </c>
      <c r="J25" t="s">
        <v>91</v>
      </c>
      <c r="K25" t="s">
        <v>78</v>
      </c>
      <c r="L25" t="s">
        <v>206</v>
      </c>
      <c r="M25" t="s">
        <v>207</v>
      </c>
      <c r="N25" t="s">
        <v>208</v>
      </c>
      <c r="O25" t="s">
        <v>82</v>
      </c>
      <c r="P25" t="str">
        <f>"4170062359                    "</f>
        <v xml:space="preserve">4170062359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22.36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70.959999999999994</v>
      </c>
      <c r="BM25">
        <v>10.64</v>
      </c>
      <c r="BN25">
        <v>81.599999999999994</v>
      </c>
      <c r="BO25">
        <v>81.599999999999994</v>
      </c>
      <c r="BQ25" t="s">
        <v>209</v>
      </c>
      <c r="BR25" t="s">
        <v>97</v>
      </c>
      <c r="BS25" s="3">
        <v>45932</v>
      </c>
      <c r="BT25" s="4">
        <v>0.38194444444444442</v>
      </c>
      <c r="BU25" t="s">
        <v>210</v>
      </c>
      <c r="BV25" t="s">
        <v>86</v>
      </c>
      <c r="BY25">
        <v>1200</v>
      </c>
      <c r="BZ25" t="s">
        <v>87</v>
      </c>
      <c r="CA25" t="s">
        <v>211</v>
      </c>
      <c r="CC25" t="s">
        <v>207</v>
      </c>
      <c r="CD25">
        <v>7441</v>
      </c>
      <c r="CE25" t="s">
        <v>120</v>
      </c>
      <c r="CF25" s="3">
        <v>45933</v>
      </c>
      <c r="CI25">
        <v>1</v>
      </c>
      <c r="CJ25">
        <v>1</v>
      </c>
      <c r="CK25">
        <v>21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"080068238308"</f>
        <v>080068238308</v>
      </c>
      <c r="F26" s="3">
        <v>45931</v>
      </c>
      <c r="G26">
        <v>202607</v>
      </c>
      <c r="H26" t="s">
        <v>79</v>
      </c>
      <c r="I26" t="s">
        <v>80</v>
      </c>
      <c r="J26" t="s">
        <v>91</v>
      </c>
      <c r="K26" t="s">
        <v>78</v>
      </c>
      <c r="L26" t="s">
        <v>168</v>
      </c>
      <c r="M26" t="s">
        <v>169</v>
      </c>
      <c r="N26" t="s">
        <v>212</v>
      </c>
      <c r="O26" t="s">
        <v>82</v>
      </c>
      <c r="P26" t="str">
        <f>"4170062390                    "</f>
        <v xml:space="preserve">4170062390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33.520000000000003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3</v>
      </c>
      <c r="BJ26">
        <v>1.1000000000000001</v>
      </c>
      <c r="BK26">
        <v>3</v>
      </c>
      <c r="BL26">
        <v>106.4</v>
      </c>
      <c r="BM26">
        <v>15.96</v>
      </c>
      <c r="BN26">
        <v>122.36</v>
      </c>
      <c r="BO26">
        <v>122.36</v>
      </c>
      <c r="BQ26" t="s">
        <v>213</v>
      </c>
      <c r="BR26" t="s">
        <v>97</v>
      </c>
      <c r="BS26" s="3">
        <v>45932</v>
      </c>
      <c r="BT26" s="4">
        <v>0.53194444444444444</v>
      </c>
      <c r="BU26" t="s">
        <v>214</v>
      </c>
      <c r="BV26" t="s">
        <v>90</v>
      </c>
      <c r="BW26" t="s">
        <v>188</v>
      </c>
      <c r="BX26" t="s">
        <v>215</v>
      </c>
      <c r="BY26">
        <v>5320</v>
      </c>
      <c r="BZ26" t="s">
        <v>87</v>
      </c>
      <c r="CA26" t="s">
        <v>216</v>
      </c>
      <c r="CC26" t="s">
        <v>169</v>
      </c>
      <c r="CD26" s="5" t="s">
        <v>217</v>
      </c>
      <c r="CE26" t="s">
        <v>101</v>
      </c>
      <c r="CF26" s="3">
        <v>45932</v>
      </c>
      <c r="CI26">
        <v>1</v>
      </c>
      <c r="CJ26">
        <v>1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"080068238354"</f>
        <v>080068238354</v>
      </c>
      <c r="F27" s="3">
        <v>45931</v>
      </c>
      <c r="G27">
        <v>202607</v>
      </c>
      <c r="H27" t="s">
        <v>79</v>
      </c>
      <c r="I27" t="s">
        <v>80</v>
      </c>
      <c r="J27" t="s">
        <v>91</v>
      </c>
      <c r="K27" t="s">
        <v>78</v>
      </c>
      <c r="L27" t="s">
        <v>218</v>
      </c>
      <c r="M27" t="s">
        <v>219</v>
      </c>
      <c r="N27" t="s">
        <v>220</v>
      </c>
      <c r="O27" t="s">
        <v>82</v>
      </c>
      <c r="P27" t="str">
        <f>"4170062332                    "</f>
        <v xml:space="preserve">4170062332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17.46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1.1000000000000001</v>
      </c>
      <c r="BK27">
        <v>2</v>
      </c>
      <c r="BL27">
        <v>55.42</v>
      </c>
      <c r="BM27">
        <v>8.31</v>
      </c>
      <c r="BN27">
        <v>63.73</v>
      </c>
      <c r="BO27">
        <v>63.73</v>
      </c>
      <c r="BQ27" t="s">
        <v>221</v>
      </c>
      <c r="BR27" t="s">
        <v>97</v>
      </c>
      <c r="BS27" s="3">
        <v>45932</v>
      </c>
      <c r="BT27" s="4">
        <v>0.35902777777777778</v>
      </c>
      <c r="BU27" t="s">
        <v>222</v>
      </c>
      <c r="BV27" t="s">
        <v>86</v>
      </c>
      <c r="BY27">
        <v>5320</v>
      </c>
      <c r="BZ27" t="s">
        <v>87</v>
      </c>
      <c r="CC27" t="s">
        <v>219</v>
      </c>
      <c r="CD27">
        <v>1559</v>
      </c>
      <c r="CE27" t="s">
        <v>101</v>
      </c>
      <c r="CF27" s="3">
        <v>45932</v>
      </c>
      <c r="CI27">
        <v>1</v>
      </c>
      <c r="CJ27">
        <v>1</v>
      </c>
      <c r="CK27">
        <v>22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"080068238734"</f>
        <v>080068238734</v>
      </c>
      <c r="F28" s="3">
        <v>45931</v>
      </c>
      <c r="G28">
        <v>202607</v>
      </c>
      <c r="H28" t="s">
        <v>79</v>
      </c>
      <c r="I28" t="s">
        <v>80</v>
      </c>
      <c r="J28" t="s">
        <v>91</v>
      </c>
      <c r="K28" t="s">
        <v>78</v>
      </c>
      <c r="L28" t="s">
        <v>223</v>
      </c>
      <c r="M28" t="s">
        <v>224</v>
      </c>
      <c r="N28" t="s">
        <v>225</v>
      </c>
      <c r="O28" t="s">
        <v>226</v>
      </c>
      <c r="P28" t="str">
        <f>"4170062360                    "</f>
        <v xml:space="preserve">4170062360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17.47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3</v>
      </c>
      <c r="BJ28">
        <v>3</v>
      </c>
      <c r="BK28">
        <v>3</v>
      </c>
      <c r="BL28">
        <v>55.44</v>
      </c>
      <c r="BM28">
        <v>8.32</v>
      </c>
      <c r="BN28">
        <v>63.76</v>
      </c>
      <c r="BO28">
        <v>63.76</v>
      </c>
      <c r="BQ28" t="s">
        <v>227</v>
      </c>
      <c r="BR28" t="s">
        <v>97</v>
      </c>
      <c r="BS28" s="3">
        <v>45932</v>
      </c>
      <c r="BT28" s="4">
        <v>0.3972222222222222</v>
      </c>
      <c r="BU28" t="s">
        <v>228</v>
      </c>
      <c r="BV28" t="s">
        <v>86</v>
      </c>
      <c r="BY28">
        <v>14960</v>
      </c>
      <c r="BZ28" t="s">
        <v>99</v>
      </c>
      <c r="CC28" t="s">
        <v>224</v>
      </c>
      <c r="CD28">
        <v>1459</v>
      </c>
      <c r="CE28" t="s">
        <v>107</v>
      </c>
      <c r="CF28" s="3">
        <v>45932</v>
      </c>
      <c r="CI28">
        <v>1</v>
      </c>
      <c r="CJ28">
        <v>1</v>
      </c>
      <c r="CK28">
        <v>32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"080068238766"</f>
        <v>080068238766</v>
      </c>
      <c r="F29" s="3">
        <v>45931</v>
      </c>
      <c r="G29">
        <v>202607</v>
      </c>
      <c r="H29" t="s">
        <v>79</v>
      </c>
      <c r="I29" t="s">
        <v>80</v>
      </c>
      <c r="J29" t="s">
        <v>91</v>
      </c>
      <c r="K29" t="s">
        <v>78</v>
      </c>
      <c r="L29" t="s">
        <v>108</v>
      </c>
      <c r="M29" t="s">
        <v>109</v>
      </c>
      <c r="N29" t="s">
        <v>229</v>
      </c>
      <c r="O29" t="s">
        <v>82</v>
      </c>
      <c r="P29" t="str">
        <f>"4170062375                    "</f>
        <v xml:space="preserve">4170062375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22.36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70.959999999999994</v>
      </c>
      <c r="BM29">
        <v>10.64</v>
      </c>
      <c r="BN29">
        <v>81.599999999999994</v>
      </c>
      <c r="BO29">
        <v>81.599999999999994</v>
      </c>
      <c r="BQ29" t="s">
        <v>230</v>
      </c>
      <c r="BR29" t="s">
        <v>97</v>
      </c>
      <c r="BS29" s="3">
        <v>45932</v>
      </c>
      <c r="BT29" s="4">
        <v>0.40694444444444444</v>
      </c>
      <c r="BU29" t="s">
        <v>231</v>
      </c>
      <c r="BV29" t="s">
        <v>86</v>
      </c>
      <c r="BY29">
        <v>1200</v>
      </c>
      <c r="BZ29" t="s">
        <v>87</v>
      </c>
      <c r="CA29" t="s">
        <v>232</v>
      </c>
      <c r="CC29" t="s">
        <v>109</v>
      </c>
      <c r="CD29">
        <v>6001</v>
      </c>
      <c r="CE29" t="s">
        <v>120</v>
      </c>
      <c r="CF29" s="3">
        <v>45932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"080068238765"</f>
        <v>080068238765</v>
      </c>
      <c r="F30" s="3">
        <v>45931</v>
      </c>
      <c r="G30">
        <v>202607</v>
      </c>
      <c r="H30" t="s">
        <v>79</v>
      </c>
      <c r="I30" t="s">
        <v>80</v>
      </c>
      <c r="J30" t="s">
        <v>91</v>
      </c>
      <c r="K30" t="s">
        <v>78</v>
      </c>
      <c r="L30" t="s">
        <v>108</v>
      </c>
      <c r="M30" t="s">
        <v>109</v>
      </c>
      <c r="N30" t="s">
        <v>229</v>
      </c>
      <c r="O30" t="s">
        <v>82</v>
      </c>
      <c r="P30" t="str">
        <f>"4170062358                    "</f>
        <v xml:space="preserve">4170062358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22.36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2</v>
      </c>
      <c r="BJ30">
        <v>1.9</v>
      </c>
      <c r="BK30">
        <v>2</v>
      </c>
      <c r="BL30">
        <v>70.959999999999994</v>
      </c>
      <c r="BM30">
        <v>10.64</v>
      </c>
      <c r="BN30">
        <v>81.599999999999994</v>
      </c>
      <c r="BO30">
        <v>81.599999999999994</v>
      </c>
      <c r="BQ30" t="s">
        <v>230</v>
      </c>
      <c r="BR30" t="s">
        <v>97</v>
      </c>
      <c r="BS30" s="3">
        <v>45932</v>
      </c>
      <c r="BT30" s="4">
        <v>0.40694444444444444</v>
      </c>
      <c r="BU30" t="s">
        <v>231</v>
      </c>
      <c r="BV30" t="s">
        <v>86</v>
      </c>
      <c r="BY30">
        <v>9600</v>
      </c>
      <c r="BZ30" t="s">
        <v>87</v>
      </c>
      <c r="CA30" t="s">
        <v>232</v>
      </c>
      <c r="CC30" t="s">
        <v>109</v>
      </c>
      <c r="CD30">
        <v>6001</v>
      </c>
      <c r="CE30" t="s">
        <v>101</v>
      </c>
      <c r="CF30" s="3">
        <v>45932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"080068238799"</f>
        <v>080068238799</v>
      </c>
      <c r="F31" s="3">
        <v>45931</v>
      </c>
      <c r="G31">
        <v>202607</v>
      </c>
      <c r="H31" t="s">
        <v>79</v>
      </c>
      <c r="I31" t="s">
        <v>80</v>
      </c>
      <c r="J31" t="s">
        <v>91</v>
      </c>
      <c r="K31" t="s">
        <v>78</v>
      </c>
      <c r="L31" t="s">
        <v>108</v>
      </c>
      <c r="M31" t="s">
        <v>109</v>
      </c>
      <c r="N31" t="s">
        <v>229</v>
      </c>
      <c r="O31" t="s">
        <v>82</v>
      </c>
      <c r="P31" t="str">
        <f>"4170062331                    "</f>
        <v xml:space="preserve">4170062331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22.36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70.959999999999994</v>
      </c>
      <c r="BM31">
        <v>10.64</v>
      </c>
      <c r="BN31">
        <v>81.599999999999994</v>
      </c>
      <c r="BO31">
        <v>81.599999999999994</v>
      </c>
      <c r="BQ31" t="s">
        <v>230</v>
      </c>
      <c r="BR31" t="s">
        <v>97</v>
      </c>
      <c r="BS31" s="3">
        <v>45932</v>
      </c>
      <c r="BT31" s="4">
        <v>0.40694444444444444</v>
      </c>
      <c r="BU31" t="s">
        <v>231</v>
      </c>
      <c r="BV31" t="s">
        <v>86</v>
      </c>
      <c r="BY31">
        <v>1200</v>
      </c>
      <c r="BZ31" t="s">
        <v>87</v>
      </c>
      <c r="CA31" t="s">
        <v>232</v>
      </c>
      <c r="CC31" t="s">
        <v>109</v>
      </c>
      <c r="CD31">
        <v>6001</v>
      </c>
      <c r="CE31" t="s">
        <v>120</v>
      </c>
      <c r="CF31" s="3">
        <v>45932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"080068238817"</f>
        <v>080068238817</v>
      </c>
      <c r="F32" s="3">
        <v>45931</v>
      </c>
      <c r="G32">
        <v>202607</v>
      </c>
      <c r="H32" t="s">
        <v>79</v>
      </c>
      <c r="I32" t="s">
        <v>80</v>
      </c>
      <c r="J32" t="s">
        <v>91</v>
      </c>
      <c r="K32" t="s">
        <v>78</v>
      </c>
      <c r="L32" t="s">
        <v>233</v>
      </c>
      <c r="M32" t="s">
        <v>234</v>
      </c>
      <c r="N32" t="s">
        <v>235</v>
      </c>
      <c r="O32" t="s">
        <v>82</v>
      </c>
      <c r="P32" t="str">
        <f>"4170062337                    "</f>
        <v xml:space="preserve">4170062337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22.36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70.959999999999994</v>
      </c>
      <c r="BM32">
        <v>10.64</v>
      </c>
      <c r="BN32">
        <v>81.599999999999994</v>
      </c>
      <c r="BO32">
        <v>81.599999999999994</v>
      </c>
      <c r="BQ32" t="s">
        <v>236</v>
      </c>
      <c r="BR32" t="s">
        <v>97</v>
      </c>
      <c r="BS32" s="3">
        <v>45932</v>
      </c>
      <c r="BT32" s="4">
        <v>0.34027777777777779</v>
      </c>
      <c r="BU32" t="s">
        <v>237</v>
      </c>
      <c r="BV32" t="s">
        <v>86</v>
      </c>
      <c r="BY32">
        <v>1200</v>
      </c>
      <c r="BZ32" t="s">
        <v>87</v>
      </c>
      <c r="CA32" t="s">
        <v>146</v>
      </c>
      <c r="CC32" t="s">
        <v>234</v>
      </c>
      <c r="CD32" s="5" t="s">
        <v>238</v>
      </c>
      <c r="CE32" t="s">
        <v>120</v>
      </c>
      <c r="CF32" s="3">
        <v>45932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"080068238819"</f>
        <v>080068238819</v>
      </c>
      <c r="F33" s="3">
        <v>45931</v>
      </c>
      <c r="G33">
        <v>202607</v>
      </c>
      <c r="H33" t="s">
        <v>79</v>
      </c>
      <c r="I33" t="s">
        <v>80</v>
      </c>
      <c r="J33" t="s">
        <v>91</v>
      </c>
      <c r="K33" t="s">
        <v>78</v>
      </c>
      <c r="L33" t="s">
        <v>239</v>
      </c>
      <c r="M33" t="s">
        <v>240</v>
      </c>
      <c r="N33" t="s">
        <v>241</v>
      </c>
      <c r="O33" t="s">
        <v>82</v>
      </c>
      <c r="P33" t="str">
        <f>"4170062345                    "</f>
        <v xml:space="preserve">4170062345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43.31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1.1000000000000001</v>
      </c>
      <c r="BJ33">
        <v>1</v>
      </c>
      <c r="BK33">
        <v>1.5</v>
      </c>
      <c r="BL33">
        <v>137.47</v>
      </c>
      <c r="BM33">
        <v>20.62</v>
      </c>
      <c r="BN33">
        <v>158.09</v>
      </c>
      <c r="BO33">
        <v>158.09</v>
      </c>
      <c r="BQ33" t="s">
        <v>242</v>
      </c>
      <c r="BR33" t="s">
        <v>97</v>
      </c>
      <c r="BS33" s="3">
        <v>45932</v>
      </c>
      <c r="BT33" s="4">
        <v>0.42986111111111114</v>
      </c>
      <c r="BU33" t="s">
        <v>243</v>
      </c>
      <c r="BV33" t="s">
        <v>86</v>
      </c>
      <c r="BY33">
        <v>5061.6000000000004</v>
      </c>
      <c r="BZ33" t="s">
        <v>87</v>
      </c>
      <c r="CA33" t="s">
        <v>244</v>
      </c>
      <c r="CC33" t="s">
        <v>240</v>
      </c>
      <c r="CD33" s="5" t="s">
        <v>245</v>
      </c>
      <c r="CE33" t="s">
        <v>101</v>
      </c>
      <c r="CF33" s="3">
        <v>45933</v>
      </c>
      <c r="CI33">
        <v>1</v>
      </c>
      <c r="CJ33">
        <v>1</v>
      </c>
      <c r="CK33">
        <v>23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"080068238842"</f>
        <v>080068238842</v>
      </c>
      <c r="F34" s="3">
        <v>45931</v>
      </c>
      <c r="G34">
        <v>202607</v>
      </c>
      <c r="H34" t="s">
        <v>79</v>
      </c>
      <c r="I34" t="s">
        <v>80</v>
      </c>
      <c r="J34" t="s">
        <v>91</v>
      </c>
      <c r="K34" t="s">
        <v>78</v>
      </c>
      <c r="L34" t="s">
        <v>246</v>
      </c>
      <c r="M34" t="s">
        <v>247</v>
      </c>
      <c r="N34" t="s">
        <v>248</v>
      </c>
      <c r="O34" t="s">
        <v>82</v>
      </c>
      <c r="P34" t="str">
        <f>"4170062427                    "</f>
        <v xml:space="preserve">4170062427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43.31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16.739999999999998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154.21</v>
      </c>
      <c r="BM34">
        <v>23.13</v>
      </c>
      <c r="BN34">
        <v>177.34</v>
      </c>
      <c r="BO34">
        <v>177.34</v>
      </c>
      <c r="BQ34" t="s">
        <v>249</v>
      </c>
      <c r="BR34" t="s">
        <v>97</v>
      </c>
      <c r="BS34" s="3">
        <v>45932</v>
      </c>
      <c r="BT34" s="4">
        <v>0.53125</v>
      </c>
      <c r="BU34" t="s">
        <v>250</v>
      </c>
      <c r="BV34" t="s">
        <v>86</v>
      </c>
      <c r="BY34">
        <v>1200</v>
      </c>
      <c r="BZ34" t="s">
        <v>251</v>
      </c>
      <c r="CC34" t="s">
        <v>247</v>
      </c>
      <c r="CD34" s="5" t="s">
        <v>252</v>
      </c>
      <c r="CE34" t="s">
        <v>120</v>
      </c>
      <c r="CF34" s="3">
        <v>45933</v>
      </c>
      <c r="CI34">
        <v>1</v>
      </c>
      <c r="CJ34">
        <v>1</v>
      </c>
      <c r="CK34">
        <v>23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"080068238875"</f>
        <v>080068238875</v>
      </c>
      <c r="F35" s="3">
        <v>45931</v>
      </c>
      <c r="G35">
        <v>202607</v>
      </c>
      <c r="H35" t="s">
        <v>79</v>
      </c>
      <c r="I35" t="s">
        <v>80</v>
      </c>
      <c r="J35" t="s">
        <v>91</v>
      </c>
      <c r="K35" t="s">
        <v>78</v>
      </c>
      <c r="L35" t="s">
        <v>168</v>
      </c>
      <c r="M35" t="s">
        <v>169</v>
      </c>
      <c r="N35" t="s">
        <v>253</v>
      </c>
      <c r="O35" t="s">
        <v>82</v>
      </c>
      <c r="P35" t="str">
        <f>"4170062412                    "</f>
        <v xml:space="preserve">4170062412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22.36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70.959999999999994</v>
      </c>
      <c r="BM35">
        <v>10.64</v>
      </c>
      <c r="BN35">
        <v>81.599999999999994</v>
      </c>
      <c r="BO35">
        <v>81.599999999999994</v>
      </c>
      <c r="BQ35" t="s">
        <v>254</v>
      </c>
      <c r="BR35" t="s">
        <v>97</v>
      </c>
      <c r="BS35" s="3">
        <v>45932</v>
      </c>
      <c r="BT35" s="4">
        <v>0.67638888888888893</v>
      </c>
      <c r="BU35" t="s">
        <v>255</v>
      </c>
      <c r="BV35" t="s">
        <v>90</v>
      </c>
      <c r="BW35" t="s">
        <v>188</v>
      </c>
      <c r="BX35" t="s">
        <v>215</v>
      </c>
      <c r="BY35">
        <v>1200</v>
      </c>
      <c r="BZ35" t="s">
        <v>87</v>
      </c>
      <c r="CA35" t="s">
        <v>146</v>
      </c>
      <c r="CC35" t="s">
        <v>169</v>
      </c>
      <c r="CD35" s="5" t="s">
        <v>190</v>
      </c>
      <c r="CE35" t="s">
        <v>120</v>
      </c>
      <c r="CF35" s="3">
        <v>45932</v>
      </c>
      <c r="CI35">
        <v>1</v>
      </c>
      <c r="CJ35">
        <v>1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"080068238889"</f>
        <v>080068238889</v>
      </c>
      <c r="F36" s="3">
        <v>45931</v>
      </c>
      <c r="G36">
        <v>202607</v>
      </c>
      <c r="H36" t="s">
        <v>79</v>
      </c>
      <c r="I36" t="s">
        <v>80</v>
      </c>
      <c r="J36" t="s">
        <v>91</v>
      </c>
      <c r="K36" t="s">
        <v>78</v>
      </c>
      <c r="L36" t="s">
        <v>108</v>
      </c>
      <c r="M36" t="s">
        <v>109</v>
      </c>
      <c r="N36" t="s">
        <v>256</v>
      </c>
      <c r="O36" t="s">
        <v>82</v>
      </c>
      <c r="P36" t="str">
        <f>"4170062353                    "</f>
        <v xml:space="preserve">4170062353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22.36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70.959999999999994</v>
      </c>
      <c r="BM36">
        <v>10.64</v>
      </c>
      <c r="BN36">
        <v>81.599999999999994</v>
      </c>
      <c r="BO36">
        <v>81.599999999999994</v>
      </c>
      <c r="BQ36" t="s">
        <v>257</v>
      </c>
      <c r="BR36" t="s">
        <v>97</v>
      </c>
      <c r="BS36" s="3">
        <v>45932</v>
      </c>
      <c r="BT36" s="4">
        <v>0.40555555555555556</v>
      </c>
      <c r="BU36" t="s">
        <v>258</v>
      </c>
      <c r="BV36" t="s">
        <v>86</v>
      </c>
      <c r="BY36">
        <v>1200</v>
      </c>
      <c r="BZ36" t="s">
        <v>87</v>
      </c>
      <c r="CA36" t="s">
        <v>142</v>
      </c>
      <c r="CC36" t="s">
        <v>109</v>
      </c>
      <c r="CD36">
        <v>6001</v>
      </c>
      <c r="CE36" t="s">
        <v>120</v>
      </c>
      <c r="CF36" s="3">
        <v>45932</v>
      </c>
      <c r="CI36">
        <v>1</v>
      </c>
      <c r="CJ36">
        <v>1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"080068238910"</f>
        <v>080068238910</v>
      </c>
      <c r="F37" s="3">
        <v>45931</v>
      </c>
      <c r="G37">
        <v>202607</v>
      </c>
      <c r="H37" t="s">
        <v>79</v>
      </c>
      <c r="I37" t="s">
        <v>80</v>
      </c>
      <c r="J37" t="s">
        <v>91</v>
      </c>
      <c r="K37" t="s">
        <v>78</v>
      </c>
      <c r="L37" t="s">
        <v>259</v>
      </c>
      <c r="M37" t="s">
        <v>260</v>
      </c>
      <c r="N37" t="s">
        <v>261</v>
      </c>
      <c r="O37" t="s">
        <v>82</v>
      </c>
      <c r="P37" t="str">
        <f>"4170062393                    "</f>
        <v xml:space="preserve">4170062393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43.31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137.47</v>
      </c>
      <c r="BM37">
        <v>20.62</v>
      </c>
      <c r="BN37">
        <v>158.09</v>
      </c>
      <c r="BO37">
        <v>158.09</v>
      </c>
      <c r="BQ37" t="s">
        <v>262</v>
      </c>
      <c r="BR37" t="s">
        <v>97</v>
      </c>
      <c r="BS37" s="3">
        <v>45932</v>
      </c>
      <c r="BT37" s="4">
        <v>0.61250000000000004</v>
      </c>
      <c r="BU37" t="s">
        <v>263</v>
      </c>
      <c r="BV37" t="s">
        <v>86</v>
      </c>
      <c r="BY37">
        <v>1200</v>
      </c>
      <c r="BZ37" t="s">
        <v>87</v>
      </c>
      <c r="CA37" t="s">
        <v>264</v>
      </c>
      <c r="CC37" t="s">
        <v>260</v>
      </c>
      <c r="CD37">
        <v>2380</v>
      </c>
      <c r="CE37" t="s">
        <v>120</v>
      </c>
      <c r="CF37" s="3">
        <v>45933</v>
      </c>
      <c r="CI37">
        <v>1</v>
      </c>
      <c r="CJ37">
        <v>1</v>
      </c>
      <c r="CK37">
        <v>23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"080068238931"</f>
        <v>080068238931</v>
      </c>
      <c r="F38" s="3">
        <v>45931</v>
      </c>
      <c r="G38">
        <v>202607</v>
      </c>
      <c r="H38" t="s">
        <v>79</v>
      </c>
      <c r="I38" t="s">
        <v>80</v>
      </c>
      <c r="J38" t="s">
        <v>91</v>
      </c>
      <c r="K38" t="s">
        <v>78</v>
      </c>
      <c r="L38" t="s">
        <v>108</v>
      </c>
      <c r="M38" t="s">
        <v>109</v>
      </c>
      <c r="N38" t="s">
        <v>229</v>
      </c>
      <c r="O38" t="s">
        <v>82</v>
      </c>
      <c r="P38" t="str">
        <f>"4170062330                    "</f>
        <v xml:space="preserve">4170062330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22.36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70.959999999999994</v>
      </c>
      <c r="BM38">
        <v>10.64</v>
      </c>
      <c r="BN38">
        <v>81.599999999999994</v>
      </c>
      <c r="BO38">
        <v>81.599999999999994</v>
      </c>
      <c r="BQ38" t="s">
        <v>230</v>
      </c>
      <c r="BR38" t="s">
        <v>97</v>
      </c>
      <c r="BS38" s="3">
        <v>45932</v>
      </c>
      <c r="BT38" s="4">
        <v>0.40694444444444444</v>
      </c>
      <c r="BU38" t="s">
        <v>231</v>
      </c>
      <c r="BV38" t="s">
        <v>86</v>
      </c>
      <c r="BY38">
        <v>1200</v>
      </c>
      <c r="BZ38" t="s">
        <v>87</v>
      </c>
      <c r="CA38" t="s">
        <v>232</v>
      </c>
      <c r="CC38" t="s">
        <v>109</v>
      </c>
      <c r="CD38">
        <v>6001</v>
      </c>
      <c r="CE38" t="s">
        <v>120</v>
      </c>
      <c r="CF38" s="3">
        <v>45932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"080068238952"</f>
        <v>080068238952</v>
      </c>
      <c r="F39" s="3">
        <v>45931</v>
      </c>
      <c r="G39">
        <v>202607</v>
      </c>
      <c r="H39" t="s">
        <v>79</v>
      </c>
      <c r="I39" t="s">
        <v>80</v>
      </c>
      <c r="J39" t="s">
        <v>91</v>
      </c>
      <c r="K39" t="s">
        <v>78</v>
      </c>
      <c r="L39" t="s">
        <v>108</v>
      </c>
      <c r="M39" t="s">
        <v>109</v>
      </c>
      <c r="N39" t="s">
        <v>229</v>
      </c>
      <c r="O39" t="s">
        <v>82</v>
      </c>
      <c r="P39" t="str">
        <f>"4170062363                    "</f>
        <v xml:space="preserve">4170062363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22.36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70.959999999999994</v>
      </c>
      <c r="BM39">
        <v>10.64</v>
      </c>
      <c r="BN39">
        <v>81.599999999999994</v>
      </c>
      <c r="BO39">
        <v>81.599999999999994</v>
      </c>
      <c r="BQ39" t="s">
        <v>230</v>
      </c>
      <c r="BR39" t="s">
        <v>97</v>
      </c>
      <c r="BS39" s="3">
        <v>45932</v>
      </c>
      <c r="BT39" s="4">
        <v>0.40694444444444444</v>
      </c>
      <c r="BU39" t="s">
        <v>231</v>
      </c>
      <c r="BV39" t="s">
        <v>86</v>
      </c>
      <c r="BY39">
        <v>1200</v>
      </c>
      <c r="BZ39" t="s">
        <v>87</v>
      </c>
      <c r="CA39" t="s">
        <v>232</v>
      </c>
      <c r="CC39" t="s">
        <v>109</v>
      </c>
      <c r="CD39">
        <v>6001</v>
      </c>
      <c r="CE39" t="s">
        <v>120</v>
      </c>
      <c r="CF39" s="3">
        <v>45932</v>
      </c>
      <c r="CI39">
        <v>1</v>
      </c>
      <c r="CJ39">
        <v>1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"080068238955"</f>
        <v>080068238955</v>
      </c>
      <c r="F40" s="3">
        <v>45931</v>
      </c>
      <c r="G40">
        <v>202607</v>
      </c>
      <c r="H40" t="s">
        <v>79</v>
      </c>
      <c r="I40" t="s">
        <v>80</v>
      </c>
      <c r="J40" t="s">
        <v>91</v>
      </c>
      <c r="K40" t="s">
        <v>78</v>
      </c>
      <c r="L40" t="s">
        <v>265</v>
      </c>
      <c r="M40" t="s">
        <v>266</v>
      </c>
      <c r="N40" t="s">
        <v>267</v>
      </c>
      <c r="O40" t="s">
        <v>82</v>
      </c>
      <c r="P40" t="str">
        <f>"4170062365                    "</f>
        <v xml:space="preserve">4170062365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22.36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70.959999999999994</v>
      </c>
      <c r="BM40">
        <v>10.64</v>
      </c>
      <c r="BN40">
        <v>81.599999999999994</v>
      </c>
      <c r="BO40">
        <v>81.599999999999994</v>
      </c>
      <c r="BQ40" t="s">
        <v>268</v>
      </c>
      <c r="BR40" t="s">
        <v>97</v>
      </c>
      <c r="BS40" s="3">
        <v>45932</v>
      </c>
      <c r="BT40" s="4">
        <v>0.33680555555555558</v>
      </c>
      <c r="BU40" t="s">
        <v>269</v>
      </c>
      <c r="BV40" t="s">
        <v>86</v>
      </c>
      <c r="BY40">
        <v>1200</v>
      </c>
      <c r="BZ40" t="s">
        <v>87</v>
      </c>
      <c r="CA40" t="s">
        <v>270</v>
      </c>
      <c r="CC40" t="s">
        <v>266</v>
      </c>
      <c r="CD40">
        <v>6230</v>
      </c>
      <c r="CE40" t="s">
        <v>120</v>
      </c>
      <c r="CF40" s="3">
        <v>45932</v>
      </c>
      <c r="CI40">
        <v>1</v>
      </c>
      <c r="CJ40">
        <v>1</v>
      </c>
      <c r="CK40">
        <v>21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"080068238972"</f>
        <v>080068238972</v>
      </c>
      <c r="F41" s="3">
        <v>45931</v>
      </c>
      <c r="G41">
        <v>202607</v>
      </c>
      <c r="H41" t="s">
        <v>79</v>
      </c>
      <c r="I41" t="s">
        <v>80</v>
      </c>
      <c r="J41" t="s">
        <v>91</v>
      </c>
      <c r="K41" t="s">
        <v>78</v>
      </c>
      <c r="L41" t="s">
        <v>246</v>
      </c>
      <c r="M41" t="s">
        <v>247</v>
      </c>
      <c r="N41" t="s">
        <v>248</v>
      </c>
      <c r="O41" t="s">
        <v>82</v>
      </c>
      <c r="P41" t="str">
        <f>"4170062362                    "</f>
        <v xml:space="preserve">4170062362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43.31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16.739999999999998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154.21</v>
      </c>
      <c r="BM41">
        <v>23.13</v>
      </c>
      <c r="BN41">
        <v>177.34</v>
      </c>
      <c r="BO41">
        <v>177.34</v>
      </c>
      <c r="BQ41" t="s">
        <v>249</v>
      </c>
      <c r="BR41" t="s">
        <v>97</v>
      </c>
      <c r="BS41" s="3">
        <v>45932</v>
      </c>
      <c r="BT41" s="4">
        <v>0.53125</v>
      </c>
      <c r="BU41" t="s">
        <v>250</v>
      </c>
      <c r="BV41" t="s">
        <v>86</v>
      </c>
      <c r="BY41">
        <v>1200</v>
      </c>
      <c r="BZ41" t="s">
        <v>251</v>
      </c>
      <c r="CC41" t="s">
        <v>247</v>
      </c>
      <c r="CD41" s="5" t="s">
        <v>252</v>
      </c>
      <c r="CE41" t="s">
        <v>120</v>
      </c>
      <c r="CF41" s="3">
        <v>45933</v>
      </c>
      <c r="CI41">
        <v>1</v>
      </c>
      <c r="CJ41">
        <v>1</v>
      </c>
      <c r="CK41">
        <v>23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"080068239258"</f>
        <v>080068239258</v>
      </c>
      <c r="F42" s="3">
        <v>45931</v>
      </c>
      <c r="G42">
        <v>202607</v>
      </c>
      <c r="H42" t="s">
        <v>79</v>
      </c>
      <c r="I42" t="s">
        <v>80</v>
      </c>
      <c r="J42" t="s">
        <v>91</v>
      </c>
      <c r="K42" t="s">
        <v>78</v>
      </c>
      <c r="L42" t="s">
        <v>271</v>
      </c>
      <c r="M42" t="s">
        <v>272</v>
      </c>
      <c r="N42" t="s">
        <v>273</v>
      </c>
      <c r="O42" t="s">
        <v>95</v>
      </c>
      <c r="P42" t="str">
        <f>"4170062382                    "</f>
        <v xml:space="preserve">4170062382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40.19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22</v>
      </c>
      <c r="BJ42">
        <v>17.7</v>
      </c>
      <c r="BK42">
        <v>22</v>
      </c>
      <c r="BL42">
        <v>133.41999999999999</v>
      </c>
      <c r="BM42">
        <v>20.010000000000002</v>
      </c>
      <c r="BN42">
        <v>153.43</v>
      </c>
      <c r="BO42">
        <v>153.43</v>
      </c>
      <c r="BQ42" t="s">
        <v>274</v>
      </c>
      <c r="BR42" t="s">
        <v>97</v>
      </c>
      <c r="BS42" s="3">
        <v>45932</v>
      </c>
      <c r="BT42" s="4">
        <v>0.4826388888888889</v>
      </c>
      <c r="BU42" t="s">
        <v>275</v>
      </c>
      <c r="BV42" t="s">
        <v>86</v>
      </c>
      <c r="BY42">
        <v>88320</v>
      </c>
      <c r="BZ42" t="s">
        <v>99</v>
      </c>
      <c r="CA42" t="s">
        <v>276</v>
      </c>
      <c r="CC42" t="s">
        <v>272</v>
      </c>
      <c r="CD42">
        <v>1422</v>
      </c>
      <c r="CE42" t="s">
        <v>101</v>
      </c>
      <c r="CF42" s="3">
        <v>45932</v>
      </c>
      <c r="CI42">
        <v>1</v>
      </c>
      <c r="CJ42">
        <v>1</v>
      </c>
      <c r="CK42">
        <v>42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"080068239275"</f>
        <v>080068239275</v>
      </c>
      <c r="F43" s="3">
        <v>45931</v>
      </c>
      <c r="G43">
        <v>202607</v>
      </c>
      <c r="H43" t="s">
        <v>79</v>
      </c>
      <c r="I43" t="s">
        <v>80</v>
      </c>
      <c r="J43" t="s">
        <v>91</v>
      </c>
      <c r="K43" t="s">
        <v>78</v>
      </c>
      <c r="L43" t="s">
        <v>79</v>
      </c>
      <c r="M43" t="s">
        <v>80</v>
      </c>
      <c r="N43" t="s">
        <v>277</v>
      </c>
      <c r="O43" t="s">
        <v>82</v>
      </c>
      <c r="P43" t="str">
        <f>"4170062397                    "</f>
        <v xml:space="preserve">4170062397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17.46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55.42</v>
      </c>
      <c r="BM43">
        <v>8.31</v>
      </c>
      <c r="BN43">
        <v>63.73</v>
      </c>
      <c r="BO43">
        <v>63.73</v>
      </c>
      <c r="BQ43" t="s">
        <v>278</v>
      </c>
      <c r="BR43" t="s">
        <v>97</v>
      </c>
      <c r="BS43" s="3">
        <v>45932</v>
      </c>
      <c r="BT43" s="4">
        <v>0.36736111111111114</v>
      </c>
      <c r="BU43" t="s">
        <v>279</v>
      </c>
      <c r="BV43" t="s">
        <v>86</v>
      </c>
      <c r="BY43">
        <v>1200</v>
      </c>
      <c r="BZ43" t="s">
        <v>87</v>
      </c>
      <c r="CA43" t="s">
        <v>280</v>
      </c>
      <c r="CC43" t="s">
        <v>80</v>
      </c>
      <c r="CD43">
        <v>1614</v>
      </c>
      <c r="CE43" t="s">
        <v>120</v>
      </c>
      <c r="CF43" s="3">
        <v>45932</v>
      </c>
      <c r="CI43">
        <v>1</v>
      </c>
      <c r="CJ43">
        <v>1</v>
      </c>
      <c r="CK43">
        <v>22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"080068239313"</f>
        <v>080068239313</v>
      </c>
      <c r="F44" s="3">
        <v>45931</v>
      </c>
      <c r="G44">
        <v>202607</v>
      </c>
      <c r="H44" t="s">
        <v>79</v>
      </c>
      <c r="I44" t="s">
        <v>80</v>
      </c>
      <c r="J44" t="s">
        <v>91</v>
      </c>
      <c r="K44" t="s">
        <v>78</v>
      </c>
      <c r="L44" t="s">
        <v>281</v>
      </c>
      <c r="M44" t="s">
        <v>282</v>
      </c>
      <c r="N44" t="s">
        <v>283</v>
      </c>
      <c r="O44" t="s">
        <v>82</v>
      </c>
      <c r="P44" t="str">
        <f>"4170062398                    "</f>
        <v xml:space="preserve">4170062398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43.31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137.47</v>
      </c>
      <c r="BM44">
        <v>20.62</v>
      </c>
      <c r="BN44">
        <v>158.09</v>
      </c>
      <c r="BO44">
        <v>158.09</v>
      </c>
      <c r="BQ44" t="s">
        <v>284</v>
      </c>
      <c r="BR44" t="s">
        <v>97</v>
      </c>
      <c r="BS44" s="3">
        <v>45932</v>
      </c>
      <c r="BT44" s="4">
        <v>0.4375</v>
      </c>
      <c r="BU44" t="s">
        <v>285</v>
      </c>
      <c r="BV44" t="s">
        <v>86</v>
      </c>
      <c r="BY44">
        <v>1200</v>
      </c>
      <c r="BZ44" t="s">
        <v>87</v>
      </c>
      <c r="CA44" t="s">
        <v>286</v>
      </c>
      <c r="CC44" t="s">
        <v>282</v>
      </c>
      <c r="CD44">
        <v>1961</v>
      </c>
      <c r="CE44" t="s">
        <v>120</v>
      </c>
      <c r="CF44" s="3">
        <v>45933</v>
      </c>
      <c r="CI44">
        <v>1</v>
      </c>
      <c r="CJ44">
        <v>1</v>
      </c>
      <c r="CK44">
        <v>23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"080068239331"</f>
        <v>080068239331</v>
      </c>
      <c r="F45" s="3">
        <v>45931</v>
      </c>
      <c r="G45">
        <v>202607</v>
      </c>
      <c r="H45" t="s">
        <v>79</v>
      </c>
      <c r="I45" t="s">
        <v>80</v>
      </c>
      <c r="J45" t="s">
        <v>91</v>
      </c>
      <c r="K45" t="s">
        <v>78</v>
      </c>
      <c r="L45" t="s">
        <v>108</v>
      </c>
      <c r="M45" t="s">
        <v>109</v>
      </c>
      <c r="N45" t="s">
        <v>287</v>
      </c>
      <c r="O45" t="s">
        <v>82</v>
      </c>
      <c r="P45" t="str">
        <f>"4170062429                    "</f>
        <v xml:space="preserve">4170062429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22.36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70.959999999999994</v>
      </c>
      <c r="BM45">
        <v>10.64</v>
      </c>
      <c r="BN45">
        <v>81.599999999999994</v>
      </c>
      <c r="BO45">
        <v>81.599999999999994</v>
      </c>
      <c r="BQ45" t="s">
        <v>288</v>
      </c>
      <c r="BR45" t="s">
        <v>97</v>
      </c>
      <c r="BS45" s="3">
        <v>45932</v>
      </c>
      <c r="BT45" s="4">
        <v>0.43402777777777779</v>
      </c>
      <c r="BU45" t="s">
        <v>289</v>
      </c>
      <c r="BV45" t="s">
        <v>86</v>
      </c>
      <c r="BY45">
        <v>1200</v>
      </c>
      <c r="BZ45" t="s">
        <v>87</v>
      </c>
      <c r="CA45" t="s">
        <v>290</v>
      </c>
      <c r="CC45" t="s">
        <v>109</v>
      </c>
      <c r="CD45">
        <v>6012</v>
      </c>
      <c r="CE45" t="s">
        <v>120</v>
      </c>
      <c r="CF45" s="3">
        <v>45932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"080068239400"</f>
        <v>080068239400</v>
      </c>
      <c r="F46" s="3">
        <v>45931</v>
      </c>
      <c r="G46">
        <v>202607</v>
      </c>
      <c r="H46" t="s">
        <v>79</v>
      </c>
      <c r="I46" t="s">
        <v>80</v>
      </c>
      <c r="J46" t="s">
        <v>91</v>
      </c>
      <c r="K46" t="s">
        <v>78</v>
      </c>
      <c r="L46" t="s">
        <v>108</v>
      </c>
      <c r="M46" t="s">
        <v>109</v>
      </c>
      <c r="N46" t="s">
        <v>291</v>
      </c>
      <c r="O46" t="s">
        <v>82</v>
      </c>
      <c r="P46" t="str">
        <f>"4170062367                    "</f>
        <v xml:space="preserve">4170062367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22.36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70.959999999999994</v>
      </c>
      <c r="BM46">
        <v>10.64</v>
      </c>
      <c r="BN46">
        <v>81.599999999999994</v>
      </c>
      <c r="BO46">
        <v>81.599999999999994</v>
      </c>
      <c r="BQ46" t="s">
        <v>292</v>
      </c>
      <c r="BR46" t="s">
        <v>97</v>
      </c>
      <c r="BS46" s="3">
        <v>45932</v>
      </c>
      <c r="BT46" s="4">
        <v>0.39444444444444443</v>
      </c>
      <c r="BU46" t="s">
        <v>293</v>
      </c>
      <c r="BV46" t="s">
        <v>86</v>
      </c>
      <c r="BY46">
        <v>1200</v>
      </c>
      <c r="BZ46" t="s">
        <v>87</v>
      </c>
      <c r="CA46" t="s">
        <v>294</v>
      </c>
      <c r="CC46" t="s">
        <v>109</v>
      </c>
      <c r="CD46">
        <v>6001</v>
      </c>
      <c r="CE46" t="s">
        <v>120</v>
      </c>
      <c r="CF46" s="3">
        <v>45933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"080068239468"</f>
        <v>080068239468</v>
      </c>
      <c r="F47" s="3">
        <v>45931</v>
      </c>
      <c r="G47">
        <v>202607</v>
      </c>
      <c r="H47" t="s">
        <v>79</v>
      </c>
      <c r="I47" t="s">
        <v>80</v>
      </c>
      <c r="J47" t="s">
        <v>91</v>
      </c>
      <c r="K47" t="s">
        <v>78</v>
      </c>
      <c r="L47" t="s">
        <v>271</v>
      </c>
      <c r="M47" t="s">
        <v>272</v>
      </c>
      <c r="N47" t="s">
        <v>273</v>
      </c>
      <c r="O47" t="s">
        <v>95</v>
      </c>
      <c r="P47" t="str">
        <f>"4170062352                    "</f>
        <v xml:space="preserve">4170062352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136.72999999999999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121</v>
      </c>
      <c r="BJ47">
        <v>101.6</v>
      </c>
      <c r="BK47">
        <v>121</v>
      </c>
      <c r="BL47">
        <v>439.84</v>
      </c>
      <c r="BM47">
        <v>65.98</v>
      </c>
      <c r="BN47">
        <v>505.82</v>
      </c>
      <c r="BO47">
        <v>505.82</v>
      </c>
      <c r="BQ47" t="s">
        <v>274</v>
      </c>
      <c r="BR47" t="s">
        <v>97</v>
      </c>
      <c r="BS47" s="3">
        <v>45932</v>
      </c>
      <c r="BT47" s="4">
        <v>0.39444444444444443</v>
      </c>
      <c r="BU47" t="s">
        <v>295</v>
      </c>
      <c r="BV47" t="s">
        <v>86</v>
      </c>
      <c r="BY47">
        <v>508113</v>
      </c>
      <c r="BZ47" t="s">
        <v>99</v>
      </c>
      <c r="CC47" t="s">
        <v>272</v>
      </c>
      <c r="CD47">
        <v>1422</v>
      </c>
      <c r="CE47" t="s">
        <v>296</v>
      </c>
      <c r="CF47" s="3">
        <v>45933</v>
      </c>
      <c r="CI47">
        <v>1</v>
      </c>
      <c r="CJ47">
        <v>1</v>
      </c>
      <c r="CK47">
        <v>42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"080068239736"</f>
        <v>080068239736</v>
      </c>
      <c r="F48" s="3">
        <v>45931</v>
      </c>
      <c r="G48">
        <v>202607</v>
      </c>
      <c r="H48" t="s">
        <v>79</v>
      </c>
      <c r="I48" t="s">
        <v>80</v>
      </c>
      <c r="J48" t="s">
        <v>91</v>
      </c>
      <c r="K48" t="s">
        <v>78</v>
      </c>
      <c r="L48" t="s">
        <v>168</v>
      </c>
      <c r="M48" t="s">
        <v>169</v>
      </c>
      <c r="N48" t="s">
        <v>297</v>
      </c>
      <c r="O48" t="s">
        <v>82</v>
      </c>
      <c r="P48" t="str">
        <f>"4170062419                    "</f>
        <v xml:space="preserve">4170062419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22.36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1.1000000000000001</v>
      </c>
      <c r="BK48">
        <v>1.5</v>
      </c>
      <c r="BL48">
        <v>70.959999999999994</v>
      </c>
      <c r="BM48">
        <v>10.64</v>
      </c>
      <c r="BN48">
        <v>81.599999999999994</v>
      </c>
      <c r="BO48">
        <v>81.599999999999994</v>
      </c>
      <c r="BQ48" t="s">
        <v>298</v>
      </c>
      <c r="BR48" t="s">
        <v>97</v>
      </c>
      <c r="BS48" s="3">
        <v>45932</v>
      </c>
      <c r="BT48" s="4">
        <v>0.65208333333333335</v>
      </c>
      <c r="BU48" t="s">
        <v>299</v>
      </c>
      <c r="BV48" t="s">
        <v>90</v>
      </c>
      <c r="BW48" t="s">
        <v>188</v>
      </c>
      <c r="BX48" t="s">
        <v>215</v>
      </c>
      <c r="BY48">
        <v>5510</v>
      </c>
      <c r="BZ48" t="s">
        <v>87</v>
      </c>
      <c r="CA48" t="s">
        <v>216</v>
      </c>
      <c r="CC48" t="s">
        <v>169</v>
      </c>
      <c r="CD48" s="5" t="s">
        <v>190</v>
      </c>
      <c r="CE48" t="s">
        <v>101</v>
      </c>
      <c r="CF48" s="3">
        <v>45932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"080068239745"</f>
        <v>080068239745</v>
      </c>
      <c r="F49" s="3">
        <v>45931</v>
      </c>
      <c r="G49">
        <v>202607</v>
      </c>
      <c r="H49" t="s">
        <v>79</v>
      </c>
      <c r="I49" t="s">
        <v>80</v>
      </c>
      <c r="J49" t="s">
        <v>91</v>
      </c>
      <c r="K49" t="s">
        <v>78</v>
      </c>
      <c r="L49" t="s">
        <v>300</v>
      </c>
      <c r="M49" t="s">
        <v>301</v>
      </c>
      <c r="N49" t="s">
        <v>302</v>
      </c>
      <c r="O49" t="s">
        <v>82</v>
      </c>
      <c r="P49" t="str">
        <f>"4170062344                    "</f>
        <v xml:space="preserve">4170062344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31.44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99.79</v>
      </c>
      <c r="BM49">
        <v>14.97</v>
      </c>
      <c r="BN49">
        <v>114.76</v>
      </c>
      <c r="BO49">
        <v>114.76</v>
      </c>
      <c r="BQ49" t="s">
        <v>303</v>
      </c>
      <c r="BR49" t="s">
        <v>97</v>
      </c>
      <c r="BS49" s="3">
        <v>45932</v>
      </c>
      <c r="BT49" s="4">
        <v>0.37638888888888888</v>
      </c>
      <c r="BU49" t="s">
        <v>304</v>
      </c>
      <c r="BV49" t="s">
        <v>86</v>
      </c>
      <c r="BY49">
        <v>1200</v>
      </c>
      <c r="BZ49" t="s">
        <v>87</v>
      </c>
      <c r="CA49" t="s">
        <v>305</v>
      </c>
      <c r="CC49" t="s">
        <v>301</v>
      </c>
      <c r="CD49">
        <v>1748</v>
      </c>
      <c r="CE49" t="s">
        <v>120</v>
      </c>
      <c r="CF49" s="3">
        <v>45933</v>
      </c>
      <c r="CI49">
        <v>1</v>
      </c>
      <c r="CJ49">
        <v>1</v>
      </c>
      <c r="CK49">
        <v>24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"080068239769"</f>
        <v>080068239769</v>
      </c>
      <c r="F50" s="3">
        <v>45931</v>
      </c>
      <c r="G50">
        <v>202607</v>
      </c>
      <c r="H50" t="s">
        <v>79</v>
      </c>
      <c r="I50" t="s">
        <v>80</v>
      </c>
      <c r="J50" t="s">
        <v>91</v>
      </c>
      <c r="K50" t="s">
        <v>78</v>
      </c>
      <c r="L50" t="s">
        <v>174</v>
      </c>
      <c r="M50" t="s">
        <v>175</v>
      </c>
      <c r="N50" t="s">
        <v>176</v>
      </c>
      <c r="O50" t="s">
        <v>82</v>
      </c>
      <c r="P50" t="str">
        <f>"4170062376                    "</f>
        <v xml:space="preserve">4170062376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17.46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0.9</v>
      </c>
      <c r="BK50">
        <v>1</v>
      </c>
      <c r="BL50">
        <v>55.42</v>
      </c>
      <c r="BM50">
        <v>8.31</v>
      </c>
      <c r="BN50">
        <v>63.73</v>
      </c>
      <c r="BO50">
        <v>63.73</v>
      </c>
      <c r="BQ50" t="s">
        <v>177</v>
      </c>
      <c r="BR50" t="s">
        <v>97</v>
      </c>
      <c r="BS50" s="3">
        <v>45932</v>
      </c>
      <c r="BT50" s="4">
        <v>0.39930555555555558</v>
      </c>
      <c r="BU50" t="s">
        <v>178</v>
      </c>
      <c r="BV50" t="s">
        <v>86</v>
      </c>
      <c r="BY50">
        <v>4275</v>
      </c>
      <c r="BZ50" t="s">
        <v>87</v>
      </c>
      <c r="CA50" t="s">
        <v>179</v>
      </c>
      <c r="CC50" t="s">
        <v>175</v>
      </c>
      <c r="CD50">
        <v>1540</v>
      </c>
      <c r="CE50" t="s">
        <v>101</v>
      </c>
      <c r="CF50" s="3">
        <v>45932</v>
      </c>
      <c r="CI50">
        <v>1</v>
      </c>
      <c r="CJ50">
        <v>1</v>
      </c>
      <c r="CK50">
        <v>22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"080068239776"</f>
        <v>080068239776</v>
      </c>
      <c r="F51" s="3">
        <v>45931</v>
      </c>
      <c r="G51">
        <v>202607</v>
      </c>
      <c r="H51" t="s">
        <v>79</v>
      </c>
      <c r="I51" t="s">
        <v>80</v>
      </c>
      <c r="J51" t="s">
        <v>91</v>
      </c>
      <c r="K51" t="s">
        <v>78</v>
      </c>
      <c r="L51" t="s">
        <v>306</v>
      </c>
      <c r="M51" t="s">
        <v>307</v>
      </c>
      <c r="N51" t="s">
        <v>308</v>
      </c>
      <c r="O51" t="s">
        <v>82</v>
      </c>
      <c r="P51" t="str">
        <f>"4170062430                    "</f>
        <v xml:space="preserve">4170062430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22.36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70.959999999999994</v>
      </c>
      <c r="BM51">
        <v>10.64</v>
      </c>
      <c r="BN51">
        <v>81.599999999999994</v>
      </c>
      <c r="BO51">
        <v>81.599999999999994</v>
      </c>
      <c r="BQ51" t="s">
        <v>309</v>
      </c>
      <c r="BR51" t="s">
        <v>97</v>
      </c>
      <c r="BS51" s="3">
        <v>45932</v>
      </c>
      <c r="BT51" s="4">
        <v>0.62569444444444444</v>
      </c>
      <c r="BU51" t="s">
        <v>310</v>
      </c>
      <c r="BV51" t="s">
        <v>90</v>
      </c>
      <c r="BW51" t="s">
        <v>136</v>
      </c>
      <c r="BX51" t="s">
        <v>137</v>
      </c>
      <c r="BY51">
        <v>1200</v>
      </c>
      <c r="BZ51" t="s">
        <v>87</v>
      </c>
      <c r="CA51" t="s">
        <v>311</v>
      </c>
      <c r="CC51" t="s">
        <v>307</v>
      </c>
      <c r="CD51">
        <v>4113</v>
      </c>
      <c r="CE51" t="s">
        <v>120</v>
      </c>
      <c r="CF51" s="3">
        <v>45932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"080068239808"</f>
        <v>080068239808</v>
      </c>
      <c r="F52" s="3">
        <v>45931</v>
      </c>
      <c r="G52">
        <v>202607</v>
      </c>
      <c r="H52" t="s">
        <v>79</v>
      </c>
      <c r="I52" t="s">
        <v>80</v>
      </c>
      <c r="J52" t="s">
        <v>91</v>
      </c>
      <c r="K52" t="s">
        <v>78</v>
      </c>
      <c r="L52" t="s">
        <v>108</v>
      </c>
      <c r="M52" t="s">
        <v>109</v>
      </c>
      <c r="N52" t="s">
        <v>312</v>
      </c>
      <c r="O52" t="s">
        <v>82</v>
      </c>
      <c r="P52" t="str">
        <f>"4170062342                    "</f>
        <v xml:space="preserve">4170062342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22.36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70.959999999999994</v>
      </c>
      <c r="BM52">
        <v>10.64</v>
      </c>
      <c r="BN52">
        <v>81.599999999999994</v>
      </c>
      <c r="BO52">
        <v>81.599999999999994</v>
      </c>
      <c r="BQ52" t="s">
        <v>313</v>
      </c>
      <c r="BR52" t="s">
        <v>97</v>
      </c>
      <c r="BS52" s="3">
        <v>45932</v>
      </c>
      <c r="BT52" s="4">
        <v>0.40902777777777777</v>
      </c>
      <c r="BU52" t="s">
        <v>314</v>
      </c>
      <c r="BV52" t="s">
        <v>86</v>
      </c>
      <c r="BY52">
        <v>1200</v>
      </c>
      <c r="BZ52" t="s">
        <v>87</v>
      </c>
      <c r="CA52" t="s">
        <v>113</v>
      </c>
      <c r="CC52" t="s">
        <v>109</v>
      </c>
      <c r="CD52">
        <v>6001</v>
      </c>
      <c r="CE52" t="s">
        <v>120</v>
      </c>
      <c r="CF52" s="3">
        <v>45932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"080068239829"</f>
        <v>080068239829</v>
      </c>
      <c r="F53" s="3">
        <v>45931</v>
      </c>
      <c r="G53">
        <v>202607</v>
      </c>
      <c r="H53" t="s">
        <v>79</v>
      </c>
      <c r="I53" t="s">
        <v>80</v>
      </c>
      <c r="J53" t="s">
        <v>91</v>
      </c>
      <c r="K53" t="s">
        <v>78</v>
      </c>
      <c r="L53" t="s">
        <v>108</v>
      </c>
      <c r="M53" t="s">
        <v>109</v>
      </c>
      <c r="N53" t="s">
        <v>139</v>
      </c>
      <c r="O53" t="s">
        <v>82</v>
      </c>
      <c r="P53" t="str">
        <f>"4170062369                    "</f>
        <v xml:space="preserve">4170062369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22.36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1.1000000000000001</v>
      </c>
      <c r="BK53">
        <v>1.5</v>
      </c>
      <c r="BL53">
        <v>70.959999999999994</v>
      </c>
      <c r="BM53">
        <v>10.64</v>
      </c>
      <c r="BN53">
        <v>81.599999999999994</v>
      </c>
      <c r="BO53">
        <v>81.599999999999994</v>
      </c>
      <c r="BQ53" t="s">
        <v>140</v>
      </c>
      <c r="BR53" t="s">
        <v>97</v>
      </c>
      <c r="BS53" s="3">
        <v>45932</v>
      </c>
      <c r="BT53" s="4">
        <v>0.41944444444444445</v>
      </c>
      <c r="BU53" t="s">
        <v>141</v>
      </c>
      <c r="BV53" t="s">
        <v>86</v>
      </c>
      <c r="BY53">
        <v>5510</v>
      </c>
      <c r="BZ53" t="s">
        <v>87</v>
      </c>
      <c r="CA53" t="s">
        <v>142</v>
      </c>
      <c r="CC53" t="s">
        <v>109</v>
      </c>
      <c r="CD53">
        <v>6001</v>
      </c>
      <c r="CE53" t="s">
        <v>101</v>
      </c>
      <c r="CF53" s="3">
        <v>45932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"080068239881"</f>
        <v>080068239881</v>
      </c>
      <c r="F54" s="3">
        <v>45931</v>
      </c>
      <c r="G54">
        <v>202607</v>
      </c>
      <c r="H54" t="s">
        <v>79</v>
      </c>
      <c r="I54" t="s">
        <v>80</v>
      </c>
      <c r="J54" t="s">
        <v>91</v>
      </c>
      <c r="K54" t="s">
        <v>78</v>
      </c>
      <c r="L54" t="s">
        <v>108</v>
      </c>
      <c r="M54" t="s">
        <v>109</v>
      </c>
      <c r="N54" t="s">
        <v>315</v>
      </c>
      <c r="O54" t="s">
        <v>82</v>
      </c>
      <c r="P54" t="str">
        <f>"4170062523                    "</f>
        <v xml:space="preserve">4170062523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22.36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0.6</v>
      </c>
      <c r="BK54">
        <v>1</v>
      </c>
      <c r="BL54">
        <v>70.959999999999994</v>
      </c>
      <c r="BM54">
        <v>10.64</v>
      </c>
      <c r="BN54">
        <v>81.599999999999994</v>
      </c>
      <c r="BO54">
        <v>81.599999999999994</v>
      </c>
      <c r="BQ54" t="s">
        <v>316</v>
      </c>
      <c r="BR54" t="s">
        <v>97</v>
      </c>
      <c r="BS54" s="3">
        <v>45932</v>
      </c>
      <c r="BT54" s="4">
        <v>0.35138888888888886</v>
      </c>
      <c r="BU54" t="s">
        <v>317</v>
      </c>
      <c r="BV54" t="s">
        <v>86</v>
      </c>
      <c r="BY54">
        <v>3192</v>
      </c>
      <c r="BZ54" t="s">
        <v>87</v>
      </c>
      <c r="CA54" t="s">
        <v>113</v>
      </c>
      <c r="CC54" t="s">
        <v>109</v>
      </c>
      <c r="CD54">
        <v>6045</v>
      </c>
      <c r="CE54" t="s">
        <v>101</v>
      </c>
      <c r="CF54" s="3">
        <v>45932</v>
      </c>
      <c r="CI54">
        <v>1</v>
      </c>
      <c r="CJ54">
        <v>1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"080068239920"</f>
        <v>080068239920</v>
      </c>
      <c r="F55" s="3">
        <v>45931</v>
      </c>
      <c r="G55">
        <v>202607</v>
      </c>
      <c r="H55" t="s">
        <v>79</v>
      </c>
      <c r="I55" t="s">
        <v>80</v>
      </c>
      <c r="J55" t="s">
        <v>91</v>
      </c>
      <c r="K55" t="s">
        <v>78</v>
      </c>
      <c r="L55" t="s">
        <v>121</v>
      </c>
      <c r="M55" t="s">
        <v>122</v>
      </c>
      <c r="N55" t="s">
        <v>318</v>
      </c>
      <c r="O55" t="s">
        <v>82</v>
      </c>
      <c r="P55" t="str">
        <f>"4170062518                    "</f>
        <v xml:space="preserve">4170062518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22.36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0.6</v>
      </c>
      <c r="BK55">
        <v>1</v>
      </c>
      <c r="BL55">
        <v>70.959999999999994</v>
      </c>
      <c r="BM55">
        <v>10.64</v>
      </c>
      <c r="BN55">
        <v>81.599999999999994</v>
      </c>
      <c r="BO55">
        <v>81.599999999999994</v>
      </c>
      <c r="BQ55" t="s">
        <v>319</v>
      </c>
      <c r="BR55" t="s">
        <v>97</v>
      </c>
      <c r="BS55" s="3">
        <v>45932</v>
      </c>
      <c r="BT55" s="4">
        <v>0.40902777777777777</v>
      </c>
      <c r="BU55" t="s">
        <v>320</v>
      </c>
      <c r="BV55" t="s">
        <v>86</v>
      </c>
      <c r="BY55">
        <v>3192</v>
      </c>
      <c r="BZ55" t="s">
        <v>87</v>
      </c>
      <c r="CA55" t="s">
        <v>321</v>
      </c>
      <c r="CC55" t="s">
        <v>122</v>
      </c>
      <c r="CD55">
        <v>4001</v>
      </c>
      <c r="CE55" t="s">
        <v>101</v>
      </c>
      <c r="CF55" s="3">
        <v>45932</v>
      </c>
      <c r="CI55">
        <v>1</v>
      </c>
      <c r="CJ55">
        <v>1</v>
      </c>
      <c r="CK55">
        <v>21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"080068240199"</f>
        <v>080068240199</v>
      </c>
      <c r="F56" s="3">
        <v>45931</v>
      </c>
      <c r="G56">
        <v>202607</v>
      </c>
      <c r="H56" t="s">
        <v>79</v>
      </c>
      <c r="I56" t="s">
        <v>80</v>
      </c>
      <c r="J56" t="s">
        <v>91</v>
      </c>
      <c r="K56" t="s">
        <v>78</v>
      </c>
      <c r="L56" t="s">
        <v>322</v>
      </c>
      <c r="M56" t="s">
        <v>322</v>
      </c>
      <c r="N56" t="s">
        <v>323</v>
      </c>
      <c r="O56" t="s">
        <v>82</v>
      </c>
      <c r="P56" t="str">
        <f>"4170062355                    "</f>
        <v xml:space="preserve">4170062355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43.31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</v>
      </c>
      <c r="BJ56">
        <v>0.9</v>
      </c>
      <c r="BK56">
        <v>2</v>
      </c>
      <c r="BL56">
        <v>137.47</v>
      </c>
      <c r="BM56">
        <v>20.62</v>
      </c>
      <c r="BN56">
        <v>158.09</v>
      </c>
      <c r="BO56">
        <v>158.09</v>
      </c>
      <c r="BQ56" t="s">
        <v>324</v>
      </c>
      <c r="BR56" t="s">
        <v>97</v>
      </c>
      <c r="BS56" s="3">
        <v>45932</v>
      </c>
      <c r="BT56" s="4">
        <v>0.54027777777777775</v>
      </c>
      <c r="BU56" t="s">
        <v>325</v>
      </c>
      <c r="BV56" t="s">
        <v>86</v>
      </c>
      <c r="BY56">
        <v>4560</v>
      </c>
      <c r="BZ56" t="s">
        <v>87</v>
      </c>
      <c r="CA56" t="s">
        <v>326</v>
      </c>
      <c r="CC56" t="s">
        <v>322</v>
      </c>
      <c r="CD56">
        <v>7646</v>
      </c>
      <c r="CE56" t="s">
        <v>101</v>
      </c>
      <c r="CF56" s="3">
        <v>45933</v>
      </c>
      <c r="CI56">
        <v>1</v>
      </c>
      <c r="CJ56">
        <v>1</v>
      </c>
      <c r="CK56">
        <v>23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"080068240230"</f>
        <v>080068240230</v>
      </c>
      <c r="F57" s="3">
        <v>45931</v>
      </c>
      <c r="G57">
        <v>202607</v>
      </c>
      <c r="H57" t="s">
        <v>79</v>
      </c>
      <c r="I57" t="s">
        <v>80</v>
      </c>
      <c r="J57" t="s">
        <v>91</v>
      </c>
      <c r="K57" t="s">
        <v>78</v>
      </c>
      <c r="L57" t="s">
        <v>271</v>
      </c>
      <c r="M57" t="s">
        <v>272</v>
      </c>
      <c r="N57" t="s">
        <v>273</v>
      </c>
      <c r="O57" t="s">
        <v>226</v>
      </c>
      <c r="P57" t="str">
        <f>"4170062378                    "</f>
        <v xml:space="preserve">4170062378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17.47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8</v>
      </c>
      <c r="BJ57">
        <v>3.4</v>
      </c>
      <c r="BK57">
        <v>8</v>
      </c>
      <c r="BL57">
        <v>55.44</v>
      </c>
      <c r="BM57">
        <v>8.32</v>
      </c>
      <c r="BN57">
        <v>63.76</v>
      </c>
      <c r="BO57">
        <v>63.76</v>
      </c>
      <c r="BQ57" t="s">
        <v>274</v>
      </c>
      <c r="BR57" t="s">
        <v>97</v>
      </c>
      <c r="BS57" s="3">
        <v>45932</v>
      </c>
      <c r="BT57" s="4">
        <v>0.34375</v>
      </c>
      <c r="BU57" t="s">
        <v>327</v>
      </c>
      <c r="BV57" t="s">
        <v>86</v>
      </c>
      <c r="BY57">
        <v>16965</v>
      </c>
      <c r="BZ57" t="s">
        <v>99</v>
      </c>
      <c r="CA57" t="s">
        <v>276</v>
      </c>
      <c r="CC57" t="s">
        <v>272</v>
      </c>
      <c r="CD57">
        <v>1422</v>
      </c>
      <c r="CE57" t="s">
        <v>101</v>
      </c>
      <c r="CF57" s="3">
        <v>45932</v>
      </c>
      <c r="CI57">
        <v>1</v>
      </c>
      <c r="CJ57">
        <v>1</v>
      </c>
      <c r="CK57">
        <v>32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"080068240244"</f>
        <v>080068240244</v>
      </c>
      <c r="F58" s="3">
        <v>45931</v>
      </c>
      <c r="G58">
        <v>202607</v>
      </c>
      <c r="H58" t="s">
        <v>79</v>
      </c>
      <c r="I58" t="s">
        <v>80</v>
      </c>
      <c r="J58" t="s">
        <v>91</v>
      </c>
      <c r="K58" t="s">
        <v>78</v>
      </c>
      <c r="L58" t="s">
        <v>121</v>
      </c>
      <c r="M58" t="s">
        <v>122</v>
      </c>
      <c r="N58" t="s">
        <v>328</v>
      </c>
      <c r="O58" t="s">
        <v>82</v>
      </c>
      <c r="P58" t="str">
        <f>"4170062409                    "</f>
        <v xml:space="preserve">4170062409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22.36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70.959999999999994</v>
      </c>
      <c r="BM58">
        <v>10.64</v>
      </c>
      <c r="BN58">
        <v>81.599999999999994</v>
      </c>
      <c r="BO58">
        <v>81.599999999999994</v>
      </c>
      <c r="BQ58" t="s">
        <v>329</v>
      </c>
      <c r="BR58" t="s">
        <v>97</v>
      </c>
      <c r="BS58" s="3">
        <v>45932</v>
      </c>
      <c r="BT58" s="4">
        <v>0.41875000000000001</v>
      </c>
      <c r="BU58" t="s">
        <v>330</v>
      </c>
      <c r="BV58" t="s">
        <v>86</v>
      </c>
      <c r="BY58">
        <v>1200</v>
      </c>
      <c r="BZ58" t="s">
        <v>87</v>
      </c>
      <c r="CA58" t="s">
        <v>331</v>
      </c>
      <c r="CC58" t="s">
        <v>122</v>
      </c>
      <c r="CD58">
        <v>4052</v>
      </c>
      <c r="CE58" t="s">
        <v>120</v>
      </c>
      <c r="CF58" s="3">
        <v>45932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"080068240258"</f>
        <v>080068240258</v>
      </c>
      <c r="F59" s="3">
        <v>45931</v>
      </c>
      <c r="G59">
        <v>202607</v>
      </c>
      <c r="H59" t="s">
        <v>79</v>
      </c>
      <c r="I59" t="s">
        <v>80</v>
      </c>
      <c r="J59" t="s">
        <v>91</v>
      </c>
      <c r="K59" t="s">
        <v>78</v>
      </c>
      <c r="L59" t="s">
        <v>168</v>
      </c>
      <c r="M59" t="s">
        <v>169</v>
      </c>
      <c r="N59" t="s">
        <v>170</v>
      </c>
      <c r="O59" t="s">
        <v>95</v>
      </c>
      <c r="P59" t="str">
        <f>"4170062433                    "</f>
        <v xml:space="preserve">4170062433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43.23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4</v>
      </c>
      <c r="BJ59">
        <v>1.1000000000000001</v>
      </c>
      <c r="BK59">
        <v>4</v>
      </c>
      <c r="BL59">
        <v>143.08000000000001</v>
      </c>
      <c r="BM59">
        <v>21.46</v>
      </c>
      <c r="BN59">
        <v>164.54</v>
      </c>
      <c r="BO59">
        <v>164.54</v>
      </c>
      <c r="BQ59" t="s">
        <v>171</v>
      </c>
      <c r="BR59" t="s">
        <v>97</v>
      </c>
      <c r="BS59" s="3">
        <v>45932</v>
      </c>
      <c r="BT59" s="4">
        <v>0.38333333333333336</v>
      </c>
      <c r="BU59" t="s">
        <v>332</v>
      </c>
      <c r="BV59" t="s">
        <v>86</v>
      </c>
      <c r="BY59">
        <v>5510</v>
      </c>
      <c r="BZ59" t="s">
        <v>99</v>
      </c>
      <c r="CC59" t="s">
        <v>169</v>
      </c>
      <c r="CD59" s="5" t="s">
        <v>173</v>
      </c>
      <c r="CE59" t="s">
        <v>101</v>
      </c>
      <c r="CF59" s="3">
        <v>45932</v>
      </c>
      <c r="CI59">
        <v>1</v>
      </c>
      <c r="CJ59">
        <v>1</v>
      </c>
      <c r="CK59">
        <v>41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"080068240273"</f>
        <v>080068240273</v>
      </c>
      <c r="F60" s="3">
        <v>45931</v>
      </c>
      <c r="G60">
        <v>202607</v>
      </c>
      <c r="H60" t="s">
        <v>79</v>
      </c>
      <c r="I60" t="s">
        <v>80</v>
      </c>
      <c r="J60" t="s">
        <v>91</v>
      </c>
      <c r="K60" t="s">
        <v>78</v>
      </c>
      <c r="L60" t="s">
        <v>333</v>
      </c>
      <c r="M60" t="s">
        <v>334</v>
      </c>
      <c r="N60" t="s">
        <v>335</v>
      </c>
      <c r="O60" t="s">
        <v>82</v>
      </c>
      <c r="P60" t="str">
        <f>"4170062399                    "</f>
        <v xml:space="preserve">4170062399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22.36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70.959999999999994</v>
      </c>
      <c r="BM60">
        <v>10.64</v>
      </c>
      <c r="BN60">
        <v>81.599999999999994</v>
      </c>
      <c r="BO60">
        <v>81.599999999999994</v>
      </c>
      <c r="BQ60" t="s">
        <v>336</v>
      </c>
      <c r="BR60" t="s">
        <v>97</v>
      </c>
      <c r="BS60" s="3">
        <v>45932</v>
      </c>
      <c r="BT60" s="4">
        <v>0.46527777777777779</v>
      </c>
      <c r="BU60" t="s">
        <v>337</v>
      </c>
      <c r="BV60" t="s">
        <v>90</v>
      </c>
      <c r="BW60" t="s">
        <v>136</v>
      </c>
      <c r="BX60" t="s">
        <v>338</v>
      </c>
      <c r="BY60">
        <v>1200</v>
      </c>
      <c r="BZ60" t="s">
        <v>87</v>
      </c>
      <c r="CA60" t="s">
        <v>142</v>
      </c>
      <c r="CC60" t="s">
        <v>334</v>
      </c>
      <c r="CD60">
        <v>6220</v>
      </c>
      <c r="CE60" t="s">
        <v>120</v>
      </c>
      <c r="CF60" s="3">
        <v>45932</v>
      </c>
      <c r="CI60">
        <v>1</v>
      </c>
      <c r="CJ60">
        <v>1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"080068240310"</f>
        <v>080068240310</v>
      </c>
      <c r="F61" s="3">
        <v>45931</v>
      </c>
      <c r="G61">
        <v>202607</v>
      </c>
      <c r="H61" t="s">
        <v>79</v>
      </c>
      <c r="I61" t="s">
        <v>80</v>
      </c>
      <c r="J61" t="s">
        <v>91</v>
      </c>
      <c r="K61" t="s">
        <v>78</v>
      </c>
      <c r="L61" t="s">
        <v>168</v>
      </c>
      <c r="M61" t="s">
        <v>169</v>
      </c>
      <c r="N61" t="s">
        <v>339</v>
      </c>
      <c r="O61" t="s">
        <v>82</v>
      </c>
      <c r="P61" t="str">
        <f>"4170062421                    "</f>
        <v xml:space="preserve">4170062421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22.36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70.959999999999994</v>
      </c>
      <c r="BM61">
        <v>10.64</v>
      </c>
      <c r="BN61">
        <v>81.599999999999994</v>
      </c>
      <c r="BO61">
        <v>81.599999999999994</v>
      </c>
      <c r="BQ61" t="s">
        <v>340</v>
      </c>
      <c r="BR61" t="s">
        <v>97</v>
      </c>
      <c r="BS61" s="3">
        <v>45933</v>
      </c>
      <c r="BT61" s="4">
        <v>0.59305555555555556</v>
      </c>
      <c r="BU61" t="s">
        <v>341</v>
      </c>
      <c r="BV61" t="s">
        <v>90</v>
      </c>
      <c r="BW61" t="s">
        <v>188</v>
      </c>
      <c r="BX61" t="s">
        <v>189</v>
      </c>
      <c r="BY61">
        <v>1200</v>
      </c>
      <c r="CC61" t="s">
        <v>169</v>
      </c>
      <c r="CD61" s="5" t="s">
        <v>190</v>
      </c>
      <c r="CE61" t="s">
        <v>147</v>
      </c>
      <c r="CF61" s="3">
        <v>45936</v>
      </c>
      <c r="CI61">
        <v>1</v>
      </c>
      <c r="CJ61">
        <v>2</v>
      </c>
      <c r="CK61">
        <v>21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"080068240307"</f>
        <v>080068240307</v>
      </c>
      <c r="F62" s="3">
        <v>45931</v>
      </c>
      <c r="G62">
        <v>202607</v>
      </c>
      <c r="H62" t="s">
        <v>79</v>
      </c>
      <c r="I62" t="s">
        <v>80</v>
      </c>
      <c r="J62" t="s">
        <v>91</v>
      </c>
      <c r="K62" t="s">
        <v>78</v>
      </c>
      <c r="L62" t="s">
        <v>342</v>
      </c>
      <c r="M62" t="s">
        <v>343</v>
      </c>
      <c r="N62" t="s">
        <v>344</v>
      </c>
      <c r="O62" t="s">
        <v>82</v>
      </c>
      <c r="P62" t="str">
        <f>"4170062394                    "</f>
        <v xml:space="preserve">4170062394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121.55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6</v>
      </c>
      <c r="BJ62">
        <v>1.7</v>
      </c>
      <c r="BK62">
        <v>6</v>
      </c>
      <c r="BL62">
        <v>385.79</v>
      </c>
      <c r="BM62">
        <v>57.87</v>
      </c>
      <c r="BN62">
        <v>443.66</v>
      </c>
      <c r="BO62">
        <v>443.66</v>
      </c>
      <c r="BQ62" t="s">
        <v>345</v>
      </c>
      <c r="BR62" t="s">
        <v>97</v>
      </c>
      <c r="BS62" s="3">
        <v>45933</v>
      </c>
      <c r="BT62" s="4">
        <v>0.50624999999999998</v>
      </c>
      <c r="BU62" t="s">
        <v>346</v>
      </c>
      <c r="BV62" t="s">
        <v>90</v>
      </c>
      <c r="BW62" t="s">
        <v>347</v>
      </c>
      <c r="BX62" t="s">
        <v>348</v>
      </c>
      <c r="BY62">
        <v>8624</v>
      </c>
      <c r="CA62" t="s">
        <v>349</v>
      </c>
      <c r="CC62" t="s">
        <v>343</v>
      </c>
      <c r="CD62">
        <v>7349</v>
      </c>
      <c r="CE62" t="s">
        <v>107</v>
      </c>
      <c r="CF62" s="3">
        <v>45936</v>
      </c>
      <c r="CI62">
        <v>1</v>
      </c>
      <c r="CJ62">
        <v>2</v>
      </c>
      <c r="CK62">
        <v>23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"080068240333"</f>
        <v>080068240333</v>
      </c>
      <c r="F63" s="3">
        <v>45931</v>
      </c>
      <c r="G63">
        <v>202607</v>
      </c>
      <c r="H63" t="s">
        <v>79</v>
      </c>
      <c r="I63" t="s">
        <v>80</v>
      </c>
      <c r="J63" t="s">
        <v>91</v>
      </c>
      <c r="K63" t="s">
        <v>78</v>
      </c>
      <c r="L63" t="s">
        <v>350</v>
      </c>
      <c r="M63" t="s">
        <v>351</v>
      </c>
      <c r="N63" t="s">
        <v>352</v>
      </c>
      <c r="O63" t="s">
        <v>82</v>
      </c>
      <c r="P63" t="str">
        <f>"4170062436                    "</f>
        <v xml:space="preserve">4170062436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43.31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137.47</v>
      </c>
      <c r="BM63">
        <v>20.62</v>
      </c>
      <c r="BN63">
        <v>158.09</v>
      </c>
      <c r="BO63">
        <v>158.09</v>
      </c>
      <c r="BQ63" t="s">
        <v>353</v>
      </c>
      <c r="BR63" t="s">
        <v>97</v>
      </c>
      <c r="BS63" s="3">
        <v>45932</v>
      </c>
      <c r="BT63" s="4">
        <v>0.40625</v>
      </c>
      <c r="BU63" t="s">
        <v>354</v>
      </c>
      <c r="BV63" t="s">
        <v>86</v>
      </c>
      <c r="BY63">
        <v>1200</v>
      </c>
      <c r="BZ63" t="s">
        <v>87</v>
      </c>
      <c r="CA63" t="s">
        <v>355</v>
      </c>
      <c r="CC63" t="s">
        <v>351</v>
      </c>
      <c r="CD63" s="5" t="s">
        <v>356</v>
      </c>
      <c r="CE63" t="s">
        <v>120</v>
      </c>
      <c r="CF63" s="3">
        <v>45933</v>
      </c>
      <c r="CI63">
        <v>1</v>
      </c>
      <c r="CJ63">
        <v>1</v>
      </c>
      <c r="CK63">
        <v>23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"080068240346"</f>
        <v>080068240346</v>
      </c>
      <c r="F64" s="3">
        <v>45931</v>
      </c>
      <c r="G64">
        <v>202607</v>
      </c>
      <c r="H64" t="s">
        <v>79</v>
      </c>
      <c r="I64" t="s">
        <v>80</v>
      </c>
      <c r="J64" t="s">
        <v>91</v>
      </c>
      <c r="K64" t="s">
        <v>78</v>
      </c>
      <c r="L64" t="s">
        <v>79</v>
      </c>
      <c r="M64" t="s">
        <v>80</v>
      </c>
      <c r="N64" t="s">
        <v>357</v>
      </c>
      <c r="O64" t="s">
        <v>82</v>
      </c>
      <c r="P64" t="str">
        <f>"4170062343                    "</f>
        <v xml:space="preserve">4170062343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17.46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1.7</v>
      </c>
      <c r="BK64">
        <v>2</v>
      </c>
      <c r="BL64">
        <v>55.42</v>
      </c>
      <c r="BM64">
        <v>8.31</v>
      </c>
      <c r="BN64">
        <v>63.73</v>
      </c>
      <c r="BO64">
        <v>63.73</v>
      </c>
      <c r="BQ64" t="s">
        <v>358</v>
      </c>
      <c r="BR64" t="s">
        <v>97</v>
      </c>
      <c r="BS64" s="3">
        <v>45932</v>
      </c>
      <c r="BT64" s="4">
        <v>0.39583333333333331</v>
      </c>
      <c r="BU64" t="s">
        <v>359</v>
      </c>
      <c r="BV64" t="s">
        <v>86</v>
      </c>
      <c r="BY64">
        <v>8550</v>
      </c>
      <c r="BZ64" t="s">
        <v>87</v>
      </c>
      <c r="CA64" t="s">
        <v>360</v>
      </c>
      <c r="CC64" t="s">
        <v>80</v>
      </c>
      <c r="CD64">
        <v>1645</v>
      </c>
      <c r="CE64" t="s">
        <v>101</v>
      </c>
      <c r="CF64" s="3">
        <v>45933</v>
      </c>
      <c r="CI64">
        <v>1</v>
      </c>
      <c r="CJ64">
        <v>1</v>
      </c>
      <c r="CK64">
        <v>22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"080068240371"</f>
        <v>080068240371</v>
      </c>
      <c r="F65" s="3">
        <v>45931</v>
      </c>
      <c r="G65">
        <v>202607</v>
      </c>
      <c r="H65" t="s">
        <v>79</v>
      </c>
      <c r="I65" t="s">
        <v>80</v>
      </c>
      <c r="J65" t="s">
        <v>91</v>
      </c>
      <c r="K65" t="s">
        <v>78</v>
      </c>
      <c r="L65" t="s">
        <v>206</v>
      </c>
      <c r="M65" t="s">
        <v>207</v>
      </c>
      <c r="N65" t="s">
        <v>361</v>
      </c>
      <c r="O65" t="s">
        <v>82</v>
      </c>
      <c r="P65" t="str">
        <f>"4170062520                    "</f>
        <v xml:space="preserve">4170062520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22.36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0.6</v>
      </c>
      <c r="BK65">
        <v>1</v>
      </c>
      <c r="BL65">
        <v>70.959999999999994</v>
      </c>
      <c r="BM65">
        <v>10.64</v>
      </c>
      <c r="BN65">
        <v>81.599999999999994</v>
      </c>
      <c r="BO65">
        <v>81.599999999999994</v>
      </c>
      <c r="BQ65" t="s">
        <v>362</v>
      </c>
      <c r="BR65" t="s">
        <v>97</v>
      </c>
      <c r="BS65" s="3">
        <v>45932</v>
      </c>
      <c r="BT65" s="4">
        <v>0.42430555555555555</v>
      </c>
      <c r="BU65" t="s">
        <v>363</v>
      </c>
      <c r="BV65" t="s">
        <v>86</v>
      </c>
      <c r="BY65">
        <v>3192</v>
      </c>
      <c r="BZ65" t="s">
        <v>87</v>
      </c>
      <c r="CA65" t="s">
        <v>364</v>
      </c>
      <c r="CC65" t="s">
        <v>207</v>
      </c>
      <c r="CD65">
        <v>7535</v>
      </c>
      <c r="CE65" t="s">
        <v>101</v>
      </c>
      <c r="CF65" s="3">
        <v>45933</v>
      </c>
      <c r="CI65">
        <v>1</v>
      </c>
      <c r="CJ65">
        <v>1</v>
      </c>
      <c r="CK65">
        <v>21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"080068240700"</f>
        <v>080068240700</v>
      </c>
      <c r="F66" s="3">
        <v>45931</v>
      </c>
      <c r="G66">
        <v>202607</v>
      </c>
      <c r="H66" t="s">
        <v>79</v>
      </c>
      <c r="I66" t="s">
        <v>80</v>
      </c>
      <c r="J66" t="s">
        <v>91</v>
      </c>
      <c r="K66" t="s">
        <v>78</v>
      </c>
      <c r="L66" t="s">
        <v>108</v>
      </c>
      <c r="M66" t="s">
        <v>109</v>
      </c>
      <c r="N66" t="s">
        <v>365</v>
      </c>
      <c r="O66" t="s">
        <v>82</v>
      </c>
      <c r="P66" t="str">
        <f>"4170062341                    "</f>
        <v xml:space="preserve">4170062341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22.36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70.959999999999994</v>
      </c>
      <c r="BM66">
        <v>10.64</v>
      </c>
      <c r="BN66">
        <v>81.599999999999994</v>
      </c>
      <c r="BO66">
        <v>81.599999999999994</v>
      </c>
      <c r="BQ66" t="s">
        <v>366</v>
      </c>
      <c r="BR66" t="s">
        <v>97</v>
      </c>
      <c r="BS66" s="3">
        <v>45932</v>
      </c>
      <c r="BT66" s="4">
        <v>0.43194444444444446</v>
      </c>
      <c r="BU66" t="s">
        <v>367</v>
      </c>
      <c r="BV66" t="s">
        <v>86</v>
      </c>
      <c r="BY66">
        <v>1200</v>
      </c>
      <c r="BZ66" t="s">
        <v>87</v>
      </c>
      <c r="CA66" t="s">
        <v>232</v>
      </c>
      <c r="CC66" t="s">
        <v>109</v>
      </c>
      <c r="CD66">
        <v>6056</v>
      </c>
      <c r="CE66" t="s">
        <v>120</v>
      </c>
      <c r="CF66" s="3">
        <v>45932</v>
      </c>
      <c r="CI66">
        <v>1</v>
      </c>
      <c r="CJ66">
        <v>1</v>
      </c>
      <c r="CK66">
        <v>21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"080068240746"</f>
        <v>080068240746</v>
      </c>
      <c r="F67" s="3">
        <v>45931</v>
      </c>
      <c r="G67">
        <v>202607</v>
      </c>
      <c r="H67" t="s">
        <v>79</v>
      </c>
      <c r="I67" t="s">
        <v>80</v>
      </c>
      <c r="J67" t="s">
        <v>91</v>
      </c>
      <c r="K67" t="s">
        <v>78</v>
      </c>
      <c r="L67" t="s">
        <v>271</v>
      </c>
      <c r="M67" t="s">
        <v>272</v>
      </c>
      <c r="N67" t="s">
        <v>368</v>
      </c>
      <c r="O67" t="s">
        <v>226</v>
      </c>
      <c r="P67" t="str">
        <f>"4170062467                    "</f>
        <v xml:space="preserve">4170062467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17.47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5.6</v>
      </c>
      <c r="BK67">
        <v>6</v>
      </c>
      <c r="BL67">
        <v>55.44</v>
      </c>
      <c r="BM67">
        <v>8.32</v>
      </c>
      <c r="BN67">
        <v>63.76</v>
      </c>
      <c r="BO67">
        <v>63.76</v>
      </c>
      <c r="BQ67" t="s">
        <v>369</v>
      </c>
      <c r="BR67" t="s">
        <v>97</v>
      </c>
      <c r="BS67" s="3">
        <v>45932</v>
      </c>
      <c r="BT67" s="4">
        <v>0.3888888888888889</v>
      </c>
      <c r="BU67" t="s">
        <v>370</v>
      </c>
      <c r="BV67" t="s">
        <v>86</v>
      </c>
      <c r="BY67">
        <v>28032</v>
      </c>
      <c r="BZ67" t="s">
        <v>99</v>
      </c>
      <c r="CA67" t="s">
        <v>371</v>
      </c>
      <c r="CC67" t="s">
        <v>272</v>
      </c>
      <c r="CD67">
        <v>1401</v>
      </c>
      <c r="CE67" t="s">
        <v>107</v>
      </c>
      <c r="CF67" s="3">
        <v>45932</v>
      </c>
      <c r="CI67">
        <v>1</v>
      </c>
      <c r="CJ67">
        <v>1</v>
      </c>
      <c r="CK67">
        <v>32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"080068240803"</f>
        <v>080068240803</v>
      </c>
      <c r="F68" s="3">
        <v>45931</v>
      </c>
      <c r="G68">
        <v>202607</v>
      </c>
      <c r="H68" t="s">
        <v>79</v>
      </c>
      <c r="I68" t="s">
        <v>80</v>
      </c>
      <c r="J68" t="s">
        <v>91</v>
      </c>
      <c r="K68" t="s">
        <v>78</v>
      </c>
      <c r="L68" t="s">
        <v>206</v>
      </c>
      <c r="M68" t="s">
        <v>207</v>
      </c>
      <c r="N68" t="s">
        <v>372</v>
      </c>
      <c r="O68" t="s">
        <v>82</v>
      </c>
      <c r="P68" t="str">
        <f>"4170062377                    "</f>
        <v xml:space="preserve">4170062377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22.36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70.959999999999994</v>
      </c>
      <c r="BM68">
        <v>10.64</v>
      </c>
      <c r="BN68">
        <v>81.599999999999994</v>
      </c>
      <c r="BO68">
        <v>81.599999999999994</v>
      </c>
      <c r="BQ68" t="s">
        <v>373</v>
      </c>
      <c r="BR68" t="s">
        <v>97</v>
      </c>
      <c r="BS68" s="3">
        <v>45932</v>
      </c>
      <c r="BT68" s="4">
        <v>0.41805555555555557</v>
      </c>
      <c r="BU68" t="s">
        <v>374</v>
      </c>
      <c r="BV68" t="s">
        <v>86</v>
      </c>
      <c r="BY68">
        <v>1200</v>
      </c>
      <c r="BZ68" t="s">
        <v>87</v>
      </c>
      <c r="CA68" t="s">
        <v>375</v>
      </c>
      <c r="CC68" t="s">
        <v>207</v>
      </c>
      <c r="CD68">
        <v>7800</v>
      </c>
      <c r="CE68" t="s">
        <v>120</v>
      </c>
      <c r="CF68" s="3">
        <v>45933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"080068240844"</f>
        <v>080068240844</v>
      </c>
      <c r="F69" s="3">
        <v>45931</v>
      </c>
      <c r="G69">
        <v>202607</v>
      </c>
      <c r="H69" t="s">
        <v>79</v>
      </c>
      <c r="I69" t="s">
        <v>80</v>
      </c>
      <c r="J69" t="s">
        <v>91</v>
      </c>
      <c r="K69" t="s">
        <v>78</v>
      </c>
      <c r="L69" t="s">
        <v>350</v>
      </c>
      <c r="M69" t="s">
        <v>351</v>
      </c>
      <c r="N69" t="s">
        <v>352</v>
      </c>
      <c r="O69" t="s">
        <v>82</v>
      </c>
      <c r="P69" t="str">
        <f>"4170062387                    "</f>
        <v xml:space="preserve">4170062387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43.31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1.1000000000000001</v>
      </c>
      <c r="BJ69">
        <v>1</v>
      </c>
      <c r="BK69">
        <v>1.5</v>
      </c>
      <c r="BL69">
        <v>137.47</v>
      </c>
      <c r="BM69">
        <v>20.62</v>
      </c>
      <c r="BN69">
        <v>158.09</v>
      </c>
      <c r="BO69">
        <v>158.09</v>
      </c>
      <c r="BQ69" t="s">
        <v>353</v>
      </c>
      <c r="BR69" t="s">
        <v>97</v>
      </c>
      <c r="BS69" s="3">
        <v>45932</v>
      </c>
      <c r="BT69" s="4">
        <v>0.40625</v>
      </c>
      <c r="BU69" t="s">
        <v>354</v>
      </c>
      <c r="BV69" t="s">
        <v>86</v>
      </c>
      <c r="BY69">
        <v>4773.6000000000004</v>
      </c>
      <c r="BZ69" t="s">
        <v>87</v>
      </c>
      <c r="CA69" t="s">
        <v>355</v>
      </c>
      <c r="CC69" t="s">
        <v>351</v>
      </c>
      <c r="CD69" s="5" t="s">
        <v>356</v>
      </c>
      <c r="CE69" t="s">
        <v>101</v>
      </c>
      <c r="CF69" s="3">
        <v>45933</v>
      </c>
      <c r="CI69">
        <v>1</v>
      </c>
      <c r="CJ69">
        <v>1</v>
      </c>
      <c r="CK69">
        <v>23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"080068240883"</f>
        <v>080068240883</v>
      </c>
      <c r="F70" s="3">
        <v>45931</v>
      </c>
      <c r="G70">
        <v>202607</v>
      </c>
      <c r="H70" t="s">
        <v>79</v>
      </c>
      <c r="I70" t="s">
        <v>80</v>
      </c>
      <c r="J70" t="s">
        <v>91</v>
      </c>
      <c r="K70" t="s">
        <v>78</v>
      </c>
      <c r="L70" t="s">
        <v>322</v>
      </c>
      <c r="M70" t="s">
        <v>322</v>
      </c>
      <c r="N70" t="s">
        <v>376</v>
      </c>
      <c r="O70" t="s">
        <v>82</v>
      </c>
      <c r="P70" t="str">
        <f>"4170062329                    "</f>
        <v xml:space="preserve">4170062329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43.31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137.47</v>
      </c>
      <c r="BM70">
        <v>20.62</v>
      </c>
      <c r="BN70">
        <v>158.09</v>
      </c>
      <c r="BO70">
        <v>158.09</v>
      </c>
      <c r="BQ70" t="s">
        <v>377</v>
      </c>
      <c r="BR70" t="s">
        <v>97</v>
      </c>
      <c r="BS70" s="3">
        <v>45932</v>
      </c>
      <c r="BT70" s="4">
        <v>0.5395833333333333</v>
      </c>
      <c r="BU70" t="s">
        <v>378</v>
      </c>
      <c r="BV70" t="s">
        <v>86</v>
      </c>
      <c r="BY70">
        <v>1200</v>
      </c>
      <c r="BZ70" t="s">
        <v>87</v>
      </c>
      <c r="CA70" t="s">
        <v>326</v>
      </c>
      <c r="CC70" t="s">
        <v>322</v>
      </c>
      <c r="CD70">
        <v>7646</v>
      </c>
      <c r="CE70" t="s">
        <v>120</v>
      </c>
      <c r="CF70" s="3">
        <v>45933</v>
      </c>
      <c r="CI70">
        <v>1</v>
      </c>
      <c r="CJ70">
        <v>1</v>
      </c>
      <c r="CK70">
        <v>23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"080068240943"</f>
        <v>080068240943</v>
      </c>
      <c r="F71" s="3">
        <v>45931</v>
      </c>
      <c r="G71">
        <v>202607</v>
      </c>
      <c r="H71" t="s">
        <v>79</v>
      </c>
      <c r="I71" t="s">
        <v>80</v>
      </c>
      <c r="J71" t="s">
        <v>91</v>
      </c>
      <c r="K71" t="s">
        <v>78</v>
      </c>
      <c r="L71" t="s">
        <v>108</v>
      </c>
      <c r="M71" t="s">
        <v>109</v>
      </c>
      <c r="N71" t="s">
        <v>379</v>
      </c>
      <c r="O71" t="s">
        <v>82</v>
      </c>
      <c r="P71" t="str">
        <f>"4170062463                    "</f>
        <v xml:space="preserve">4170062463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33.520000000000003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3</v>
      </c>
      <c r="BJ71">
        <v>1.1000000000000001</v>
      </c>
      <c r="BK71">
        <v>3</v>
      </c>
      <c r="BL71">
        <v>106.4</v>
      </c>
      <c r="BM71">
        <v>15.96</v>
      </c>
      <c r="BN71">
        <v>122.36</v>
      </c>
      <c r="BO71">
        <v>122.36</v>
      </c>
      <c r="BQ71" t="s">
        <v>380</v>
      </c>
      <c r="BR71" t="s">
        <v>97</v>
      </c>
      <c r="BS71" s="3">
        <v>45932</v>
      </c>
      <c r="BT71" s="4">
        <v>0.4236111111111111</v>
      </c>
      <c r="BU71" t="s">
        <v>381</v>
      </c>
      <c r="BV71" t="s">
        <v>86</v>
      </c>
      <c r="BY71">
        <v>5510</v>
      </c>
      <c r="BZ71" t="s">
        <v>87</v>
      </c>
      <c r="CA71" t="s">
        <v>113</v>
      </c>
      <c r="CC71" t="s">
        <v>109</v>
      </c>
      <c r="CD71">
        <v>6001</v>
      </c>
      <c r="CE71" t="s">
        <v>101</v>
      </c>
      <c r="CF71" s="3">
        <v>45932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"080068240950"</f>
        <v>080068240950</v>
      </c>
      <c r="F72" s="3">
        <v>45931</v>
      </c>
      <c r="G72">
        <v>202607</v>
      </c>
      <c r="H72" t="s">
        <v>79</v>
      </c>
      <c r="I72" t="s">
        <v>80</v>
      </c>
      <c r="J72" t="s">
        <v>91</v>
      </c>
      <c r="K72" t="s">
        <v>78</v>
      </c>
      <c r="L72" t="s">
        <v>108</v>
      </c>
      <c r="M72" t="s">
        <v>109</v>
      </c>
      <c r="N72" t="s">
        <v>382</v>
      </c>
      <c r="O72" t="s">
        <v>82</v>
      </c>
      <c r="P72" t="str">
        <f>"4170062426                    "</f>
        <v xml:space="preserve">4170062426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22.36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70.959999999999994</v>
      </c>
      <c r="BM72">
        <v>10.64</v>
      </c>
      <c r="BN72">
        <v>81.599999999999994</v>
      </c>
      <c r="BO72">
        <v>81.599999999999994</v>
      </c>
      <c r="BQ72" t="s">
        <v>383</v>
      </c>
      <c r="BR72" t="s">
        <v>97</v>
      </c>
      <c r="BS72" s="3">
        <v>45932</v>
      </c>
      <c r="BT72" s="4">
        <v>0.41875000000000001</v>
      </c>
      <c r="BU72" t="s">
        <v>384</v>
      </c>
      <c r="BV72" t="s">
        <v>86</v>
      </c>
      <c r="BY72">
        <v>1200</v>
      </c>
      <c r="BZ72" t="s">
        <v>87</v>
      </c>
      <c r="CA72" t="s">
        <v>113</v>
      </c>
      <c r="CC72" t="s">
        <v>109</v>
      </c>
      <c r="CD72">
        <v>6001</v>
      </c>
      <c r="CE72" t="s">
        <v>120</v>
      </c>
      <c r="CF72" s="3">
        <v>45932</v>
      </c>
      <c r="CI72">
        <v>1</v>
      </c>
      <c r="CJ72">
        <v>1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"080068241018"</f>
        <v>080068241018</v>
      </c>
      <c r="F73" s="3">
        <v>45931</v>
      </c>
      <c r="G73">
        <v>202607</v>
      </c>
      <c r="H73" t="s">
        <v>79</v>
      </c>
      <c r="I73" t="s">
        <v>80</v>
      </c>
      <c r="J73" t="s">
        <v>91</v>
      </c>
      <c r="K73" t="s">
        <v>78</v>
      </c>
      <c r="L73" t="s">
        <v>206</v>
      </c>
      <c r="M73" t="s">
        <v>207</v>
      </c>
      <c r="N73" t="s">
        <v>385</v>
      </c>
      <c r="O73" t="s">
        <v>82</v>
      </c>
      <c r="P73" t="str">
        <f>"4170062347                    "</f>
        <v xml:space="preserve">4170062347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22.36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70.959999999999994</v>
      </c>
      <c r="BM73">
        <v>10.64</v>
      </c>
      <c r="BN73">
        <v>81.599999999999994</v>
      </c>
      <c r="BO73">
        <v>81.599999999999994</v>
      </c>
      <c r="BQ73" t="s">
        <v>386</v>
      </c>
      <c r="BR73" t="s">
        <v>97</v>
      </c>
      <c r="BS73" s="3">
        <v>45932</v>
      </c>
      <c r="BT73" s="4">
        <v>0.43611111111111112</v>
      </c>
      <c r="BU73" t="s">
        <v>387</v>
      </c>
      <c r="BV73" t="s">
        <v>86</v>
      </c>
      <c r="BY73">
        <v>1200</v>
      </c>
      <c r="BZ73" t="s">
        <v>87</v>
      </c>
      <c r="CA73" t="s">
        <v>388</v>
      </c>
      <c r="CC73" t="s">
        <v>207</v>
      </c>
      <c r="CD73">
        <v>7405</v>
      </c>
      <c r="CE73" t="s">
        <v>120</v>
      </c>
      <c r="CF73" s="3">
        <v>45933</v>
      </c>
      <c r="CI73">
        <v>1</v>
      </c>
      <c r="CJ73">
        <v>1</v>
      </c>
      <c r="CK73">
        <v>21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"080068241053"</f>
        <v>080068241053</v>
      </c>
      <c r="F74" s="3">
        <v>45931</v>
      </c>
      <c r="G74">
        <v>202607</v>
      </c>
      <c r="H74" t="s">
        <v>79</v>
      </c>
      <c r="I74" t="s">
        <v>80</v>
      </c>
      <c r="J74" t="s">
        <v>91</v>
      </c>
      <c r="K74" t="s">
        <v>78</v>
      </c>
      <c r="L74" t="s">
        <v>121</v>
      </c>
      <c r="M74" t="s">
        <v>122</v>
      </c>
      <c r="N74" t="s">
        <v>389</v>
      </c>
      <c r="O74" t="s">
        <v>82</v>
      </c>
      <c r="P74" t="str">
        <f>"4170062422                    "</f>
        <v xml:space="preserve">4170062422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22.36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1.1000000000000001</v>
      </c>
      <c r="BK74">
        <v>1.5</v>
      </c>
      <c r="BL74">
        <v>70.959999999999994</v>
      </c>
      <c r="BM74">
        <v>10.64</v>
      </c>
      <c r="BN74">
        <v>81.599999999999994</v>
      </c>
      <c r="BO74">
        <v>81.599999999999994</v>
      </c>
      <c r="BQ74" t="s">
        <v>390</v>
      </c>
      <c r="BR74" t="s">
        <v>97</v>
      </c>
      <c r="BS74" s="3">
        <v>45932</v>
      </c>
      <c r="BT74" s="4">
        <v>0.41875000000000001</v>
      </c>
      <c r="BU74" t="s">
        <v>330</v>
      </c>
      <c r="BV74" t="s">
        <v>86</v>
      </c>
      <c r="BY74">
        <v>5510</v>
      </c>
      <c r="BZ74" t="s">
        <v>87</v>
      </c>
      <c r="CA74" t="s">
        <v>331</v>
      </c>
      <c r="CC74" t="s">
        <v>122</v>
      </c>
      <c r="CD74">
        <v>4052</v>
      </c>
      <c r="CE74" t="s">
        <v>101</v>
      </c>
      <c r="CF74" s="3">
        <v>45932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"080068241835"</f>
        <v>080068241835</v>
      </c>
      <c r="F75" s="3">
        <v>45931</v>
      </c>
      <c r="G75">
        <v>202607</v>
      </c>
      <c r="H75" t="s">
        <v>79</v>
      </c>
      <c r="I75" t="s">
        <v>80</v>
      </c>
      <c r="J75" t="s">
        <v>91</v>
      </c>
      <c r="K75" t="s">
        <v>78</v>
      </c>
      <c r="L75" t="s">
        <v>108</v>
      </c>
      <c r="M75" t="s">
        <v>109</v>
      </c>
      <c r="N75" t="s">
        <v>229</v>
      </c>
      <c r="O75" t="s">
        <v>82</v>
      </c>
      <c r="P75" t="str">
        <f>"4170062364                    "</f>
        <v xml:space="preserve">4170062364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22.36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70.959999999999994</v>
      </c>
      <c r="BM75">
        <v>10.64</v>
      </c>
      <c r="BN75">
        <v>81.599999999999994</v>
      </c>
      <c r="BO75">
        <v>81.599999999999994</v>
      </c>
      <c r="BQ75" t="s">
        <v>230</v>
      </c>
      <c r="BR75" t="s">
        <v>97</v>
      </c>
      <c r="BS75" s="3">
        <v>45932</v>
      </c>
      <c r="BT75" s="4">
        <v>0.40694444444444444</v>
      </c>
      <c r="BU75" t="s">
        <v>231</v>
      </c>
      <c r="BV75" t="s">
        <v>86</v>
      </c>
      <c r="BY75">
        <v>1200</v>
      </c>
      <c r="BZ75" t="s">
        <v>87</v>
      </c>
      <c r="CA75" t="s">
        <v>232</v>
      </c>
      <c r="CC75" t="s">
        <v>109</v>
      </c>
      <c r="CD75">
        <v>6001</v>
      </c>
      <c r="CE75" t="s">
        <v>120</v>
      </c>
      <c r="CF75" s="3">
        <v>45932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"080068241837"</f>
        <v>080068241837</v>
      </c>
      <c r="F76" s="3">
        <v>45931</v>
      </c>
      <c r="G76">
        <v>202607</v>
      </c>
      <c r="H76" t="s">
        <v>79</v>
      </c>
      <c r="I76" t="s">
        <v>80</v>
      </c>
      <c r="J76" t="s">
        <v>91</v>
      </c>
      <c r="K76" t="s">
        <v>78</v>
      </c>
      <c r="L76" t="s">
        <v>206</v>
      </c>
      <c r="M76" t="s">
        <v>207</v>
      </c>
      <c r="N76" t="s">
        <v>391</v>
      </c>
      <c r="O76" t="s">
        <v>82</v>
      </c>
      <c r="P76" t="str">
        <f>"4170062479                    "</f>
        <v xml:space="preserve">4170062479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22.36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0.9</v>
      </c>
      <c r="BK76">
        <v>1</v>
      </c>
      <c r="BL76">
        <v>70.959999999999994</v>
      </c>
      <c r="BM76">
        <v>10.64</v>
      </c>
      <c r="BN76">
        <v>81.599999999999994</v>
      </c>
      <c r="BO76">
        <v>81.599999999999994</v>
      </c>
      <c r="BQ76" t="s">
        <v>392</v>
      </c>
      <c r="BR76" t="s">
        <v>97</v>
      </c>
      <c r="BS76" s="3">
        <v>45932</v>
      </c>
      <c r="BT76" s="4">
        <v>0.42638888888888887</v>
      </c>
      <c r="BU76" t="s">
        <v>393</v>
      </c>
      <c r="BV76" t="s">
        <v>86</v>
      </c>
      <c r="BY76">
        <v>4275</v>
      </c>
      <c r="BZ76" t="s">
        <v>87</v>
      </c>
      <c r="CA76" t="s">
        <v>394</v>
      </c>
      <c r="CC76" t="s">
        <v>207</v>
      </c>
      <c r="CD76">
        <v>7441</v>
      </c>
      <c r="CE76" t="s">
        <v>101</v>
      </c>
      <c r="CF76" s="3">
        <v>45933</v>
      </c>
      <c r="CI76">
        <v>1</v>
      </c>
      <c r="CJ76">
        <v>1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"080068241878"</f>
        <v>080068241878</v>
      </c>
      <c r="F77" s="3">
        <v>45931</v>
      </c>
      <c r="G77">
        <v>202607</v>
      </c>
      <c r="H77" t="s">
        <v>79</v>
      </c>
      <c r="I77" t="s">
        <v>80</v>
      </c>
      <c r="J77" t="s">
        <v>91</v>
      </c>
      <c r="K77" t="s">
        <v>78</v>
      </c>
      <c r="L77" t="s">
        <v>168</v>
      </c>
      <c r="M77" t="s">
        <v>169</v>
      </c>
      <c r="N77" t="s">
        <v>395</v>
      </c>
      <c r="O77" t="s">
        <v>82</v>
      </c>
      <c r="P77" t="str">
        <f>"4170062340                    "</f>
        <v xml:space="preserve">4170062340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22.36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1.1000000000000001</v>
      </c>
      <c r="BK77">
        <v>1.5</v>
      </c>
      <c r="BL77">
        <v>70.959999999999994</v>
      </c>
      <c r="BM77">
        <v>10.64</v>
      </c>
      <c r="BN77">
        <v>81.599999999999994</v>
      </c>
      <c r="BO77">
        <v>81.599999999999994</v>
      </c>
      <c r="BQ77" t="s">
        <v>396</v>
      </c>
      <c r="BR77" t="s">
        <v>97</v>
      </c>
      <c r="BS77" s="3">
        <v>45932</v>
      </c>
      <c r="BT77" s="4">
        <v>0.6</v>
      </c>
      <c r="BU77" t="s">
        <v>397</v>
      </c>
      <c r="BV77" t="s">
        <v>90</v>
      </c>
      <c r="BW77" t="s">
        <v>188</v>
      </c>
      <c r="BX77" t="s">
        <v>215</v>
      </c>
      <c r="BY77">
        <v>5510</v>
      </c>
      <c r="BZ77" t="s">
        <v>87</v>
      </c>
      <c r="CA77" t="s">
        <v>216</v>
      </c>
      <c r="CC77" t="s">
        <v>169</v>
      </c>
      <c r="CD77" s="5" t="s">
        <v>190</v>
      </c>
      <c r="CE77" t="s">
        <v>101</v>
      </c>
      <c r="CF77" s="3">
        <v>45932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"080068241964"</f>
        <v>080068241964</v>
      </c>
      <c r="F78" s="3">
        <v>45931</v>
      </c>
      <c r="G78">
        <v>202607</v>
      </c>
      <c r="H78" t="s">
        <v>79</v>
      </c>
      <c r="I78" t="s">
        <v>80</v>
      </c>
      <c r="J78" t="s">
        <v>91</v>
      </c>
      <c r="K78" t="s">
        <v>78</v>
      </c>
      <c r="L78" t="s">
        <v>174</v>
      </c>
      <c r="M78" t="s">
        <v>175</v>
      </c>
      <c r="N78" t="s">
        <v>398</v>
      </c>
      <c r="O78" t="s">
        <v>82</v>
      </c>
      <c r="P78" t="str">
        <f>"4170062403                    "</f>
        <v xml:space="preserve">4170062403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17.46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55.42</v>
      </c>
      <c r="BM78">
        <v>8.31</v>
      </c>
      <c r="BN78">
        <v>63.73</v>
      </c>
      <c r="BO78">
        <v>63.73</v>
      </c>
      <c r="BQ78" t="s">
        <v>399</v>
      </c>
      <c r="BR78" t="s">
        <v>97</v>
      </c>
      <c r="BS78" s="3">
        <v>45932</v>
      </c>
      <c r="BT78" s="4">
        <v>0.4236111111111111</v>
      </c>
      <c r="BU78" t="s">
        <v>400</v>
      </c>
      <c r="BV78" t="s">
        <v>86</v>
      </c>
      <c r="BY78">
        <v>1200</v>
      </c>
      <c r="BZ78" t="s">
        <v>87</v>
      </c>
      <c r="CA78" t="s">
        <v>179</v>
      </c>
      <c r="CC78" t="s">
        <v>175</v>
      </c>
      <c r="CD78">
        <v>1540</v>
      </c>
      <c r="CE78" t="s">
        <v>120</v>
      </c>
      <c r="CF78" s="3">
        <v>45932</v>
      </c>
      <c r="CI78">
        <v>1</v>
      </c>
      <c r="CJ78">
        <v>1</v>
      </c>
      <c r="CK78">
        <v>22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"080068242008"</f>
        <v>080068242008</v>
      </c>
      <c r="F79" s="3">
        <v>45931</v>
      </c>
      <c r="G79">
        <v>202607</v>
      </c>
      <c r="H79" t="s">
        <v>79</v>
      </c>
      <c r="I79" t="s">
        <v>80</v>
      </c>
      <c r="J79" t="s">
        <v>91</v>
      </c>
      <c r="K79" t="s">
        <v>78</v>
      </c>
      <c r="L79" t="s">
        <v>401</v>
      </c>
      <c r="M79" t="s">
        <v>402</v>
      </c>
      <c r="N79" t="s">
        <v>403</v>
      </c>
      <c r="O79" t="s">
        <v>82</v>
      </c>
      <c r="P79" t="str">
        <f>"4170062402                    "</f>
        <v xml:space="preserve">4170062402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43.31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137.47</v>
      </c>
      <c r="BM79">
        <v>20.62</v>
      </c>
      <c r="BN79">
        <v>158.09</v>
      </c>
      <c r="BO79">
        <v>158.09</v>
      </c>
      <c r="BQ79" t="s">
        <v>404</v>
      </c>
      <c r="BR79" t="s">
        <v>97</v>
      </c>
      <c r="BS79" s="3">
        <v>45932</v>
      </c>
      <c r="BT79" s="4">
        <v>0.63888888888888884</v>
      </c>
      <c r="BU79" t="s">
        <v>405</v>
      </c>
      <c r="BV79" t="s">
        <v>90</v>
      </c>
      <c r="BY79">
        <v>1200</v>
      </c>
      <c r="BZ79" t="s">
        <v>87</v>
      </c>
      <c r="CC79" t="s">
        <v>402</v>
      </c>
      <c r="CD79">
        <v>3310</v>
      </c>
      <c r="CE79" t="s">
        <v>120</v>
      </c>
      <c r="CF79" s="3">
        <v>45933</v>
      </c>
      <c r="CI79">
        <v>1</v>
      </c>
      <c r="CJ79">
        <v>1</v>
      </c>
      <c r="CK79">
        <v>23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"080068242037"</f>
        <v>080068242037</v>
      </c>
      <c r="F80" s="3">
        <v>45931</v>
      </c>
      <c r="G80">
        <v>202607</v>
      </c>
      <c r="H80" t="s">
        <v>79</v>
      </c>
      <c r="I80" t="s">
        <v>80</v>
      </c>
      <c r="J80" t="s">
        <v>91</v>
      </c>
      <c r="K80" t="s">
        <v>78</v>
      </c>
      <c r="L80" t="s">
        <v>406</v>
      </c>
      <c r="M80" t="s">
        <v>407</v>
      </c>
      <c r="N80" t="s">
        <v>408</v>
      </c>
      <c r="O80" t="s">
        <v>82</v>
      </c>
      <c r="P80" t="str">
        <f>"4170062431                    "</f>
        <v xml:space="preserve">4170062431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31.44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99.79</v>
      </c>
      <c r="BM80">
        <v>14.97</v>
      </c>
      <c r="BN80">
        <v>114.76</v>
      </c>
      <c r="BO80">
        <v>114.76</v>
      </c>
      <c r="BQ80" t="s">
        <v>409</v>
      </c>
      <c r="BR80" t="s">
        <v>97</v>
      </c>
      <c r="BS80" s="3">
        <v>45932</v>
      </c>
      <c r="BT80" s="4">
        <v>0.43472222222222223</v>
      </c>
      <c r="BU80" t="s">
        <v>410</v>
      </c>
      <c r="BV80" t="s">
        <v>86</v>
      </c>
      <c r="BY80">
        <v>1200</v>
      </c>
      <c r="BZ80" t="s">
        <v>87</v>
      </c>
      <c r="CA80" t="s">
        <v>411</v>
      </c>
      <c r="CC80" t="s">
        <v>407</v>
      </c>
      <c r="CD80">
        <v>1438</v>
      </c>
      <c r="CE80" t="s">
        <v>120</v>
      </c>
      <c r="CF80" s="3">
        <v>45932</v>
      </c>
      <c r="CI80">
        <v>1</v>
      </c>
      <c r="CJ80">
        <v>1</v>
      </c>
      <c r="CK80">
        <v>24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"080068242075"</f>
        <v>080068242075</v>
      </c>
      <c r="F81" s="3">
        <v>45931</v>
      </c>
      <c r="G81">
        <v>202607</v>
      </c>
      <c r="H81" t="s">
        <v>79</v>
      </c>
      <c r="I81" t="s">
        <v>80</v>
      </c>
      <c r="J81" t="s">
        <v>91</v>
      </c>
      <c r="K81" t="s">
        <v>78</v>
      </c>
      <c r="L81" t="s">
        <v>206</v>
      </c>
      <c r="M81" t="s">
        <v>207</v>
      </c>
      <c r="N81" t="s">
        <v>412</v>
      </c>
      <c r="O81" t="s">
        <v>82</v>
      </c>
      <c r="P81" t="str">
        <f>"4170062423                    "</f>
        <v xml:space="preserve">4170062423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22.36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70.959999999999994</v>
      </c>
      <c r="BM81">
        <v>10.64</v>
      </c>
      <c r="BN81">
        <v>81.599999999999994</v>
      </c>
      <c r="BO81">
        <v>81.599999999999994</v>
      </c>
      <c r="BQ81" t="s">
        <v>413</v>
      </c>
      <c r="BR81" t="s">
        <v>97</v>
      </c>
      <c r="BS81" s="3">
        <v>45932</v>
      </c>
      <c r="BT81" s="4">
        <v>0.37569444444444444</v>
      </c>
      <c r="BU81" t="s">
        <v>414</v>
      </c>
      <c r="BV81" t="s">
        <v>86</v>
      </c>
      <c r="BY81">
        <v>1200</v>
      </c>
      <c r="BZ81" t="s">
        <v>87</v>
      </c>
      <c r="CA81" t="s">
        <v>415</v>
      </c>
      <c r="CC81" t="s">
        <v>207</v>
      </c>
      <c r="CD81">
        <v>7493</v>
      </c>
      <c r="CE81" t="s">
        <v>120</v>
      </c>
      <c r="CF81" s="3">
        <v>45933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"080068242118"</f>
        <v>080068242118</v>
      </c>
      <c r="F82" s="3">
        <v>45931</v>
      </c>
      <c r="G82">
        <v>202607</v>
      </c>
      <c r="H82" t="s">
        <v>79</v>
      </c>
      <c r="I82" t="s">
        <v>80</v>
      </c>
      <c r="J82" t="s">
        <v>91</v>
      </c>
      <c r="K82" t="s">
        <v>78</v>
      </c>
      <c r="L82" t="s">
        <v>108</v>
      </c>
      <c r="M82" t="s">
        <v>109</v>
      </c>
      <c r="N82" t="s">
        <v>229</v>
      </c>
      <c r="O82" t="s">
        <v>82</v>
      </c>
      <c r="P82" t="str">
        <f>"4170062439                    "</f>
        <v xml:space="preserve">4170062439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22.36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70.959999999999994</v>
      </c>
      <c r="BM82">
        <v>10.64</v>
      </c>
      <c r="BN82">
        <v>81.599999999999994</v>
      </c>
      <c r="BO82">
        <v>81.599999999999994</v>
      </c>
      <c r="BQ82" t="s">
        <v>230</v>
      </c>
      <c r="BR82" t="s">
        <v>97</v>
      </c>
      <c r="BS82" s="3">
        <v>45932</v>
      </c>
      <c r="BT82" s="4">
        <v>0.40694444444444444</v>
      </c>
      <c r="BU82" t="s">
        <v>231</v>
      </c>
      <c r="BV82" t="s">
        <v>86</v>
      </c>
      <c r="BY82">
        <v>1200</v>
      </c>
      <c r="BZ82" t="s">
        <v>87</v>
      </c>
      <c r="CA82" t="s">
        <v>232</v>
      </c>
      <c r="CC82" t="s">
        <v>109</v>
      </c>
      <c r="CD82">
        <v>6001</v>
      </c>
      <c r="CE82" t="s">
        <v>120</v>
      </c>
      <c r="CF82" s="3">
        <v>45932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"080068242204"</f>
        <v>080068242204</v>
      </c>
      <c r="F83" s="3">
        <v>45931</v>
      </c>
      <c r="G83">
        <v>202607</v>
      </c>
      <c r="H83" t="s">
        <v>79</v>
      </c>
      <c r="I83" t="s">
        <v>80</v>
      </c>
      <c r="J83" t="s">
        <v>91</v>
      </c>
      <c r="K83" t="s">
        <v>78</v>
      </c>
      <c r="L83" t="s">
        <v>79</v>
      </c>
      <c r="M83" t="s">
        <v>80</v>
      </c>
      <c r="N83" t="s">
        <v>416</v>
      </c>
      <c r="O83" t="s">
        <v>82</v>
      </c>
      <c r="P83" t="str">
        <f>"4170062351                    "</f>
        <v xml:space="preserve">4170062351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17.46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55.42</v>
      </c>
      <c r="BM83">
        <v>8.31</v>
      </c>
      <c r="BN83">
        <v>63.73</v>
      </c>
      <c r="BO83">
        <v>63.73</v>
      </c>
      <c r="BQ83" t="s">
        <v>417</v>
      </c>
      <c r="BR83" t="s">
        <v>97</v>
      </c>
      <c r="BS83" s="3">
        <v>45932</v>
      </c>
      <c r="BT83" s="4">
        <v>0.3659722222222222</v>
      </c>
      <c r="BU83" t="s">
        <v>418</v>
      </c>
      <c r="BV83" t="s">
        <v>86</v>
      </c>
      <c r="BY83">
        <v>1200</v>
      </c>
      <c r="BZ83" t="s">
        <v>87</v>
      </c>
      <c r="CA83" t="s">
        <v>419</v>
      </c>
      <c r="CC83" t="s">
        <v>80</v>
      </c>
      <c r="CD83">
        <v>1666</v>
      </c>
      <c r="CE83" t="s">
        <v>120</v>
      </c>
      <c r="CF83" s="3">
        <v>45933</v>
      </c>
      <c r="CI83">
        <v>1</v>
      </c>
      <c r="CJ83">
        <v>1</v>
      </c>
      <c r="CK83">
        <v>22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"080068242261"</f>
        <v>080068242261</v>
      </c>
      <c r="F84" s="3">
        <v>45931</v>
      </c>
      <c r="G84">
        <v>202607</v>
      </c>
      <c r="H84" t="s">
        <v>79</v>
      </c>
      <c r="I84" t="s">
        <v>80</v>
      </c>
      <c r="J84" t="s">
        <v>91</v>
      </c>
      <c r="K84" t="s">
        <v>78</v>
      </c>
      <c r="L84" t="s">
        <v>206</v>
      </c>
      <c r="M84" t="s">
        <v>207</v>
      </c>
      <c r="N84" t="s">
        <v>420</v>
      </c>
      <c r="O84" t="s">
        <v>82</v>
      </c>
      <c r="P84" t="str">
        <f>"4170062432                    "</f>
        <v xml:space="preserve">4170062432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22.36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70.959999999999994</v>
      </c>
      <c r="BM84">
        <v>10.64</v>
      </c>
      <c r="BN84">
        <v>81.599999999999994</v>
      </c>
      <c r="BO84">
        <v>81.599999999999994</v>
      </c>
      <c r="BQ84" t="s">
        <v>421</v>
      </c>
      <c r="BR84" t="s">
        <v>97</v>
      </c>
      <c r="BS84" s="3">
        <v>45932</v>
      </c>
      <c r="BT84" s="4">
        <v>0.40138888888888891</v>
      </c>
      <c r="BU84" t="s">
        <v>422</v>
      </c>
      <c r="BV84" t="s">
        <v>86</v>
      </c>
      <c r="BY84">
        <v>1200</v>
      </c>
      <c r="BZ84" t="s">
        <v>87</v>
      </c>
      <c r="CA84" t="s">
        <v>423</v>
      </c>
      <c r="CC84" t="s">
        <v>207</v>
      </c>
      <c r="CD84">
        <v>7561</v>
      </c>
      <c r="CE84" t="s">
        <v>120</v>
      </c>
      <c r="CF84" s="3">
        <v>45933</v>
      </c>
      <c r="CI84">
        <v>1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"080068242308"</f>
        <v>080068242308</v>
      </c>
      <c r="F85" s="3">
        <v>45931</v>
      </c>
      <c r="G85">
        <v>202607</v>
      </c>
      <c r="H85" t="s">
        <v>79</v>
      </c>
      <c r="I85" t="s">
        <v>80</v>
      </c>
      <c r="J85" t="s">
        <v>91</v>
      </c>
      <c r="K85" t="s">
        <v>78</v>
      </c>
      <c r="L85" t="s">
        <v>121</v>
      </c>
      <c r="M85" t="s">
        <v>122</v>
      </c>
      <c r="N85" t="s">
        <v>424</v>
      </c>
      <c r="O85" t="s">
        <v>82</v>
      </c>
      <c r="P85" t="str">
        <f>"4170062338                    "</f>
        <v xml:space="preserve">4170062338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22.36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70.959999999999994</v>
      </c>
      <c r="BM85">
        <v>10.64</v>
      </c>
      <c r="BN85">
        <v>81.599999999999994</v>
      </c>
      <c r="BO85">
        <v>81.599999999999994</v>
      </c>
      <c r="BQ85" t="s">
        <v>425</v>
      </c>
      <c r="BR85" t="s">
        <v>97</v>
      </c>
      <c r="BS85" s="3">
        <v>45932</v>
      </c>
      <c r="BT85" s="4">
        <v>0.52222222222222225</v>
      </c>
      <c r="BU85" t="s">
        <v>426</v>
      </c>
      <c r="BV85" t="s">
        <v>90</v>
      </c>
      <c r="BW85" t="s">
        <v>136</v>
      </c>
      <c r="BX85" t="s">
        <v>137</v>
      </c>
      <c r="BY85">
        <v>1200</v>
      </c>
      <c r="BZ85" t="s">
        <v>87</v>
      </c>
      <c r="CA85" t="s">
        <v>311</v>
      </c>
      <c r="CC85" t="s">
        <v>122</v>
      </c>
      <c r="CD85">
        <v>4052</v>
      </c>
      <c r="CE85" t="s">
        <v>120</v>
      </c>
      <c r="CF85" s="3">
        <v>45932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"080068242504"</f>
        <v>080068242504</v>
      </c>
      <c r="F86" s="3">
        <v>45931</v>
      </c>
      <c r="G86">
        <v>202607</v>
      </c>
      <c r="H86" t="s">
        <v>79</v>
      </c>
      <c r="I86" t="s">
        <v>80</v>
      </c>
      <c r="J86" t="s">
        <v>91</v>
      </c>
      <c r="K86" t="s">
        <v>78</v>
      </c>
      <c r="L86" t="s">
        <v>206</v>
      </c>
      <c r="M86" t="s">
        <v>207</v>
      </c>
      <c r="N86" t="s">
        <v>427</v>
      </c>
      <c r="O86" t="s">
        <v>82</v>
      </c>
      <c r="P86" t="str">
        <f>"4170062370                    "</f>
        <v xml:space="preserve">4170062370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22.36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70.959999999999994</v>
      </c>
      <c r="BM86">
        <v>10.64</v>
      </c>
      <c r="BN86">
        <v>81.599999999999994</v>
      </c>
      <c r="BO86">
        <v>81.599999999999994</v>
      </c>
      <c r="BQ86" t="s">
        <v>428</v>
      </c>
      <c r="BR86" t="s">
        <v>97</v>
      </c>
      <c r="BS86" s="3">
        <v>45932</v>
      </c>
      <c r="BT86" s="4">
        <v>0.32847222222222222</v>
      </c>
      <c r="BU86" t="s">
        <v>429</v>
      </c>
      <c r="BV86" t="s">
        <v>86</v>
      </c>
      <c r="BY86">
        <v>1200</v>
      </c>
      <c r="BZ86" t="s">
        <v>87</v>
      </c>
      <c r="CA86" t="s">
        <v>423</v>
      </c>
      <c r="CC86" t="s">
        <v>207</v>
      </c>
      <c r="CD86">
        <v>7530</v>
      </c>
      <c r="CE86" t="s">
        <v>120</v>
      </c>
      <c r="CF86" s="3">
        <v>45933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"080068242650"</f>
        <v>080068242650</v>
      </c>
      <c r="F87" s="3">
        <v>45931</v>
      </c>
      <c r="G87">
        <v>202607</v>
      </c>
      <c r="H87" t="s">
        <v>79</v>
      </c>
      <c r="I87" t="s">
        <v>80</v>
      </c>
      <c r="J87" t="s">
        <v>91</v>
      </c>
      <c r="K87" t="s">
        <v>78</v>
      </c>
      <c r="L87" t="s">
        <v>430</v>
      </c>
      <c r="M87" t="s">
        <v>431</v>
      </c>
      <c r="N87" t="s">
        <v>432</v>
      </c>
      <c r="O87" t="s">
        <v>82</v>
      </c>
      <c r="P87" t="str">
        <f>"4170062405                    "</f>
        <v xml:space="preserve">4170062405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43.31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137.47</v>
      </c>
      <c r="BM87">
        <v>20.62</v>
      </c>
      <c r="BN87">
        <v>158.09</v>
      </c>
      <c r="BO87">
        <v>158.09</v>
      </c>
      <c r="BQ87" t="s">
        <v>433</v>
      </c>
      <c r="BR87" t="s">
        <v>97</v>
      </c>
      <c r="BS87" s="3">
        <v>45933</v>
      </c>
      <c r="BT87" s="4">
        <v>0.50694444444444442</v>
      </c>
      <c r="BU87" t="s">
        <v>434</v>
      </c>
      <c r="BV87" t="s">
        <v>86</v>
      </c>
      <c r="BY87">
        <v>1200</v>
      </c>
      <c r="CA87" t="s">
        <v>435</v>
      </c>
      <c r="CC87" t="s">
        <v>431</v>
      </c>
      <c r="CD87">
        <v>4490</v>
      </c>
      <c r="CE87" t="s">
        <v>147</v>
      </c>
      <c r="CF87" s="3">
        <v>45933</v>
      </c>
      <c r="CI87">
        <v>5</v>
      </c>
      <c r="CJ87">
        <v>2</v>
      </c>
      <c r="CK87">
        <v>23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"080068243665"</f>
        <v>080068243665</v>
      </c>
      <c r="F88" s="3">
        <v>45931</v>
      </c>
      <c r="G88">
        <v>202607</v>
      </c>
      <c r="H88" t="s">
        <v>79</v>
      </c>
      <c r="I88" t="s">
        <v>80</v>
      </c>
      <c r="J88" t="s">
        <v>91</v>
      </c>
      <c r="K88" t="s">
        <v>78</v>
      </c>
      <c r="L88" t="s">
        <v>322</v>
      </c>
      <c r="M88" t="s">
        <v>322</v>
      </c>
      <c r="N88" t="s">
        <v>376</v>
      </c>
      <c r="O88" t="s">
        <v>82</v>
      </c>
      <c r="P88" t="str">
        <f>"4170062446                    "</f>
        <v xml:space="preserve">4170062446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43.31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137.47</v>
      </c>
      <c r="BM88">
        <v>20.62</v>
      </c>
      <c r="BN88">
        <v>158.09</v>
      </c>
      <c r="BO88">
        <v>158.09</v>
      </c>
      <c r="BQ88" t="s">
        <v>377</v>
      </c>
      <c r="BR88" t="s">
        <v>97</v>
      </c>
      <c r="BS88" s="3">
        <v>45932</v>
      </c>
      <c r="BT88" s="4">
        <v>0.54027777777777775</v>
      </c>
      <c r="BU88" t="s">
        <v>378</v>
      </c>
      <c r="BV88" t="s">
        <v>86</v>
      </c>
      <c r="BY88">
        <v>1200</v>
      </c>
      <c r="BZ88" t="s">
        <v>87</v>
      </c>
      <c r="CA88" t="s">
        <v>326</v>
      </c>
      <c r="CC88" t="s">
        <v>322</v>
      </c>
      <c r="CD88">
        <v>7646</v>
      </c>
      <c r="CE88" t="s">
        <v>120</v>
      </c>
      <c r="CF88" s="3">
        <v>45933</v>
      </c>
      <c r="CI88">
        <v>1</v>
      </c>
      <c r="CJ88">
        <v>1</v>
      </c>
      <c r="CK88">
        <v>23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"080068243687"</f>
        <v>080068243687</v>
      </c>
      <c r="F89" s="3">
        <v>45931</v>
      </c>
      <c r="G89">
        <v>202607</v>
      </c>
      <c r="H89" t="s">
        <v>79</v>
      </c>
      <c r="I89" t="s">
        <v>80</v>
      </c>
      <c r="J89" t="s">
        <v>91</v>
      </c>
      <c r="K89" t="s">
        <v>78</v>
      </c>
      <c r="L89" t="s">
        <v>206</v>
      </c>
      <c r="M89" t="s">
        <v>207</v>
      </c>
      <c r="N89" t="s">
        <v>361</v>
      </c>
      <c r="O89" t="s">
        <v>82</v>
      </c>
      <c r="P89" t="str">
        <f>"4170062490                    "</f>
        <v xml:space="preserve">4170062490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22.36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1.9</v>
      </c>
      <c r="BK89">
        <v>2</v>
      </c>
      <c r="BL89">
        <v>70.959999999999994</v>
      </c>
      <c r="BM89">
        <v>10.64</v>
      </c>
      <c r="BN89">
        <v>81.599999999999994</v>
      </c>
      <c r="BO89">
        <v>81.599999999999994</v>
      </c>
      <c r="BQ89" t="s">
        <v>362</v>
      </c>
      <c r="BR89" t="s">
        <v>97</v>
      </c>
      <c r="BS89" s="3">
        <v>45932</v>
      </c>
      <c r="BT89" s="4">
        <v>0.42430555555555555</v>
      </c>
      <c r="BU89" t="s">
        <v>363</v>
      </c>
      <c r="BV89" t="s">
        <v>86</v>
      </c>
      <c r="BY89">
        <v>9600</v>
      </c>
      <c r="BZ89" t="s">
        <v>87</v>
      </c>
      <c r="CA89" t="s">
        <v>364</v>
      </c>
      <c r="CC89" t="s">
        <v>207</v>
      </c>
      <c r="CD89">
        <v>7535</v>
      </c>
      <c r="CE89" t="s">
        <v>101</v>
      </c>
      <c r="CF89" s="3">
        <v>45933</v>
      </c>
      <c r="CI89">
        <v>1</v>
      </c>
      <c r="CJ89">
        <v>1</v>
      </c>
      <c r="CK89">
        <v>21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"080068243691"</f>
        <v>080068243691</v>
      </c>
      <c r="F90" s="3">
        <v>45931</v>
      </c>
      <c r="G90">
        <v>202607</v>
      </c>
      <c r="H90" t="s">
        <v>79</v>
      </c>
      <c r="I90" t="s">
        <v>80</v>
      </c>
      <c r="J90" t="s">
        <v>91</v>
      </c>
      <c r="K90" t="s">
        <v>78</v>
      </c>
      <c r="L90" t="s">
        <v>206</v>
      </c>
      <c r="M90" t="s">
        <v>207</v>
      </c>
      <c r="N90" t="s">
        <v>436</v>
      </c>
      <c r="O90" t="s">
        <v>82</v>
      </c>
      <c r="P90" t="str">
        <f>"4170062417                    "</f>
        <v xml:space="preserve">4170062417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22.36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70.959999999999994</v>
      </c>
      <c r="BM90">
        <v>10.64</v>
      </c>
      <c r="BN90">
        <v>81.599999999999994</v>
      </c>
      <c r="BO90">
        <v>81.599999999999994</v>
      </c>
      <c r="BQ90" t="s">
        <v>437</v>
      </c>
      <c r="BR90" t="s">
        <v>97</v>
      </c>
      <c r="BS90" s="3">
        <v>45932</v>
      </c>
      <c r="BT90" s="4">
        <v>0.42499999999999999</v>
      </c>
      <c r="BU90" t="s">
        <v>438</v>
      </c>
      <c r="BV90" t="s">
        <v>86</v>
      </c>
      <c r="BY90">
        <v>1200</v>
      </c>
      <c r="BZ90" t="s">
        <v>87</v>
      </c>
      <c r="CA90" t="s">
        <v>439</v>
      </c>
      <c r="CC90" t="s">
        <v>207</v>
      </c>
      <c r="CD90">
        <v>7800</v>
      </c>
      <c r="CE90" t="s">
        <v>120</v>
      </c>
      <c r="CF90" s="3">
        <v>45933</v>
      </c>
      <c r="CI90">
        <v>1</v>
      </c>
      <c r="CJ90">
        <v>1</v>
      </c>
      <c r="CK90">
        <v>21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"080068243710"</f>
        <v>080068243710</v>
      </c>
      <c r="F91" s="3">
        <v>45931</v>
      </c>
      <c r="G91">
        <v>202607</v>
      </c>
      <c r="H91" t="s">
        <v>79</v>
      </c>
      <c r="I91" t="s">
        <v>80</v>
      </c>
      <c r="J91" t="s">
        <v>91</v>
      </c>
      <c r="K91" t="s">
        <v>78</v>
      </c>
      <c r="L91" t="s">
        <v>108</v>
      </c>
      <c r="M91" t="s">
        <v>109</v>
      </c>
      <c r="N91" t="s">
        <v>440</v>
      </c>
      <c r="O91" t="s">
        <v>82</v>
      </c>
      <c r="P91" t="str">
        <f>"4170062441                    "</f>
        <v xml:space="preserve">4170062441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22.36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1.6</v>
      </c>
      <c r="BK91">
        <v>2</v>
      </c>
      <c r="BL91">
        <v>70.959999999999994</v>
      </c>
      <c r="BM91">
        <v>10.64</v>
      </c>
      <c r="BN91">
        <v>81.599999999999994</v>
      </c>
      <c r="BO91">
        <v>81.599999999999994</v>
      </c>
      <c r="BQ91" t="s">
        <v>441</v>
      </c>
      <c r="BR91" t="s">
        <v>97</v>
      </c>
      <c r="BS91" s="3">
        <v>45932</v>
      </c>
      <c r="BT91" s="4">
        <v>0.39374999999999999</v>
      </c>
      <c r="BU91" t="s">
        <v>442</v>
      </c>
      <c r="BV91" t="s">
        <v>86</v>
      </c>
      <c r="BY91">
        <v>7980</v>
      </c>
      <c r="BZ91" t="s">
        <v>87</v>
      </c>
      <c r="CA91" t="s">
        <v>113</v>
      </c>
      <c r="CC91" t="s">
        <v>109</v>
      </c>
      <c r="CD91">
        <v>6001</v>
      </c>
      <c r="CE91" t="s">
        <v>101</v>
      </c>
      <c r="CF91" s="3">
        <v>45932</v>
      </c>
      <c r="CI91">
        <v>1</v>
      </c>
      <c r="CJ91">
        <v>1</v>
      </c>
      <c r="CK91">
        <v>21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"080068243724"</f>
        <v>080068243724</v>
      </c>
      <c r="F92" s="3">
        <v>45931</v>
      </c>
      <c r="G92">
        <v>202607</v>
      </c>
      <c r="H92" t="s">
        <v>79</v>
      </c>
      <c r="I92" t="s">
        <v>80</v>
      </c>
      <c r="J92" t="s">
        <v>91</v>
      </c>
      <c r="K92" t="s">
        <v>78</v>
      </c>
      <c r="L92" t="s">
        <v>218</v>
      </c>
      <c r="M92" t="s">
        <v>219</v>
      </c>
      <c r="N92" t="s">
        <v>443</v>
      </c>
      <c r="O92" t="s">
        <v>82</v>
      </c>
      <c r="P92" t="str">
        <f>"4170062487                    "</f>
        <v xml:space="preserve">4170062487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17.46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55.42</v>
      </c>
      <c r="BM92">
        <v>8.31</v>
      </c>
      <c r="BN92">
        <v>63.73</v>
      </c>
      <c r="BO92">
        <v>63.73</v>
      </c>
      <c r="BQ92" t="s">
        <v>444</v>
      </c>
      <c r="BR92" t="s">
        <v>97</v>
      </c>
      <c r="BS92" s="3">
        <v>45932</v>
      </c>
      <c r="BT92" s="4">
        <v>0.41666666666666669</v>
      </c>
      <c r="BU92" t="s">
        <v>445</v>
      </c>
      <c r="BV92" t="s">
        <v>86</v>
      </c>
      <c r="BY92">
        <v>1200</v>
      </c>
      <c r="BZ92" t="s">
        <v>87</v>
      </c>
      <c r="CC92" t="s">
        <v>219</v>
      </c>
      <c r="CD92">
        <v>1559</v>
      </c>
      <c r="CE92" t="s">
        <v>120</v>
      </c>
      <c r="CF92" s="3">
        <v>45932</v>
      </c>
      <c r="CI92">
        <v>1</v>
      </c>
      <c r="CJ92">
        <v>1</v>
      </c>
      <c r="CK92">
        <v>22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"080068243744"</f>
        <v>080068243744</v>
      </c>
      <c r="F93" s="3">
        <v>45931</v>
      </c>
      <c r="G93">
        <v>202607</v>
      </c>
      <c r="H93" t="s">
        <v>79</v>
      </c>
      <c r="I93" t="s">
        <v>80</v>
      </c>
      <c r="J93" t="s">
        <v>91</v>
      </c>
      <c r="K93" t="s">
        <v>78</v>
      </c>
      <c r="L93" t="s">
        <v>446</v>
      </c>
      <c r="M93" t="s">
        <v>447</v>
      </c>
      <c r="N93" t="s">
        <v>448</v>
      </c>
      <c r="O93" t="s">
        <v>82</v>
      </c>
      <c r="P93" t="str">
        <f>"4170062374                    "</f>
        <v xml:space="preserve">4170062374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43.31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</v>
      </c>
      <c r="BJ93">
        <v>0.6</v>
      </c>
      <c r="BK93">
        <v>2</v>
      </c>
      <c r="BL93">
        <v>137.47</v>
      </c>
      <c r="BM93">
        <v>20.62</v>
      </c>
      <c r="BN93">
        <v>158.09</v>
      </c>
      <c r="BO93">
        <v>158.09</v>
      </c>
      <c r="BQ93" t="s">
        <v>449</v>
      </c>
      <c r="BR93" t="s">
        <v>97</v>
      </c>
      <c r="BS93" s="3">
        <v>45932</v>
      </c>
      <c r="BT93" s="4">
        <v>0.58333333333333337</v>
      </c>
      <c r="BU93" t="s">
        <v>450</v>
      </c>
      <c r="BV93" t="s">
        <v>90</v>
      </c>
      <c r="BW93" t="s">
        <v>347</v>
      </c>
      <c r="BX93" t="s">
        <v>451</v>
      </c>
      <c r="BY93">
        <v>3192</v>
      </c>
      <c r="BZ93" t="s">
        <v>87</v>
      </c>
      <c r="CA93" t="s">
        <v>452</v>
      </c>
      <c r="CC93" t="s">
        <v>447</v>
      </c>
      <c r="CD93">
        <v>7130</v>
      </c>
      <c r="CE93" t="s">
        <v>101</v>
      </c>
      <c r="CF93" s="3">
        <v>45933</v>
      </c>
      <c r="CI93">
        <v>1</v>
      </c>
      <c r="CJ93">
        <v>1</v>
      </c>
      <c r="CK93">
        <v>23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"080068243773"</f>
        <v>080068243773</v>
      </c>
      <c r="F94" s="3">
        <v>45931</v>
      </c>
      <c r="G94">
        <v>202607</v>
      </c>
      <c r="H94" t="s">
        <v>79</v>
      </c>
      <c r="I94" t="s">
        <v>80</v>
      </c>
      <c r="J94" t="s">
        <v>91</v>
      </c>
      <c r="K94" t="s">
        <v>78</v>
      </c>
      <c r="L94" t="s">
        <v>453</v>
      </c>
      <c r="M94" t="s">
        <v>454</v>
      </c>
      <c r="N94" t="s">
        <v>455</v>
      </c>
      <c r="O94" t="s">
        <v>82</v>
      </c>
      <c r="P94" t="str">
        <f>"4170062385                    "</f>
        <v xml:space="preserve">4170062385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22.36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1.1000000000000001</v>
      </c>
      <c r="BK94">
        <v>2</v>
      </c>
      <c r="BL94">
        <v>70.959999999999994</v>
      </c>
      <c r="BM94">
        <v>10.64</v>
      </c>
      <c r="BN94">
        <v>81.599999999999994</v>
      </c>
      <c r="BO94">
        <v>81.599999999999994</v>
      </c>
      <c r="BQ94" t="s">
        <v>456</v>
      </c>
      <c r="BR94" t="s">
        <v>97</v>
      </c>
      <c r="BS94" s="3">
        <v>45932</v>
      </c>
      <c r="BT94" s="4">
        <v>0.40069444444444446</v>
      </c>
      <c r="BU94" t="s">
        <v>434</v>
      </c>
      <c r="BV94" t="s">
        <v>86</v>
      </c>
      <c r="BY94">
        <v>5510</v>
      </c>
      <c r="BZ94" t="s">
        <v>87</v>
      </c>
      <c r="CA94" t="s">
        <v>457</v>
      </c>
      <c r="CC94" t="s">
        <v>454</v>
      </c>
      <c r="CD94">
        <v>3608</v>
      </c>
      <c r="CE94" t="s">
        <v>101</v>
      </c>
      <c r="CF94" s="3">
        <v>45932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"080068243800"</f>
        <v>080068243800</v>
      </c>
      <c r="F95" s="3">
        <v>45931</v>
      </c>
      <c r="G95">
        <v>202607</v>
      </c>
      <c r="H95" t="s">
        <v>79</v>
      </c>
      <c r="I95" t="s">
        <v>80</v>
      </c>
      <c r="J95" t="s">
        <v>91</v>
      </c>
      <c r="K95" t="s">
        <v>78</v>
      </c>
      <c r="L95" t="s">
        <v>206</v>
      </c>
      <c r="M95" t="s">
        <v>207</v>
      </c>
      <c r="N95" t="s">
        <v>458</v>
      </c>
      <c r="O95" t="s">
        <v>82</v>
      </c>
      <c r="P95" t="str">
        <f>"4170062380                    "</f>
        <v xml:space="preserve">4170062380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22.36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0.9</v>
      </c>
      <c r="BK95">
        <v>1</v>
      </c>
      <c r="BL95">
        <v>70.959999999999994</v>
      </c>
      <c r="BM95">
        <v>10.64</v>
      </c>
      <c r="BN95">
        <v>81.599999999999994</v>
      </c>
      <c r="BO95">
        <v>81.599999999999994</v>
      </c>
      <c r="BQ95" t="s">
        <v>459</v>
      </c>
      <c r="BR95" t="s">
        <v>97</v>
      </c>
      <c r="BS95" s="3">
        <v>45932</v>
      </c>
      <c r="BT95" s="4">
        <v>0.40625</v>
      </c>
      <c r="BU95" t="s">
        <v>460</v>
      </c>
      <c r="BV95" t="s">
        <v>86</v>
      </c>
      <c r="BY95">
        <v>4275</v>
      </c>
      <c r="BZ95" t="s">
        <v>87</v>
      </c>
      <c r="CA95" t="s">
        <v>461</v>
      </c>
      <c r="CC95" t="s">
        <v>207</v>
      </c>
      <c r="CD95">
        <v>7530</v>
      </c>
      <c r="CE95" t="s">
        <v>101</v>
      </c>
      <c r="CF95" s="3">
        <v>45933</v>
      </c>
      <c r="CI95">
        <v>1</v>
      </c>
      <c r="CJ95">
        <v>1</v>
      </c>
      <c r="CK95">
        <v>21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"080068243836"</f>
        <v>080068243836</v>
      </c>
      <c r="F96" s="3">
        <v>45931</v>
      </c>
      <c r="G96">
        <v>202607</v>
      </c>
      <c r="H96" t="s">
        <v>79</v>
      </c>
      <c r="I96" t="s">
        <v>80</v>
      </c>
      <c r="J96" t="s">
        <v>91</v>
      </c>
      <c r="K96" t="s">
        <v>78</v>
      </c>
      <c r="L96" t="s">
        <v>102</v>
      </c>
      <c r="M96" t="s">
        <v>103</v>
      </c>
      <c r="N96" t="s">
        <v>462</v>
      </c>
      <c r="O96" t="s">
        <v>82</v>
      </c>
      <c r="P96" t="str">
        <f>"4170062401                    "</f>
        <v xml:space="preserve">4170062401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17.46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</v>
      </c>
      <c r="BJ96">
        <v>1.8</v>
      </c>
      <c r="BK96">
        <v>2</v>
      </c>
      <c r="BL96">
        <v>55.42</v>
      </c>
      <c r="BM96">
        <v>8.31</v>
      </c>
      <c r="BN96">
        <v>63.73</v>
      </c>
      <c r="BO96">
        <v>63.73</v>
      </c>
      <c r="BQ96" t="s">
        <v>463</v>
      </c>
      <c r="BR96" t="s">
        <v>97</v>
      </c>
      <c r="BS96" s="3">
        <v>45932</v>
      </c>
      <c r="BT96" s="4">
        <v>0.41388888888888886</v>
      </c>
      <c r="BU96" t="s">
        <v>464</v>
      </c>
      <c r="BV96" t="s">
        <v>86</v>
      </c>
      <c r="BY96">
        <v>9044</v>
      </c>
      <c r="BZ96" t="s">
        <v>87</v>
      </c>
      <c r="CC96" t="s">
        <v>103</v>
      </c>
      <c r="CD96">
        <v>1449</v>
      </c>
      <c r="CE96" t="s">
        <v>101</v>
      </c>
      <c r="CF96" s="3">
        <v>45933</v>
      </c>
      <c r="CI96">
        <v>1</v>
      </c>
      <c r="CJ96">
        <v>1</v>
      </c>
      <c r="CK96">
        <v>22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"080068243910"</f>
        <v>080068243910</v>
      </c>
      <c r="F97" s="3">
        <v>45931</v>
      </c>
      <c r="G97">
        <v>202607</v>
      </c>
      <c r="H97" t="s">
        <v>79</v>
      </c>
      <c r="I97" t="s">
        <v>80</v>
      </c>
      <c r="J97" t="s">
        <v>91</v>
      </c>
      <c r="K97" t="s">
        <v>78</v>
      </c>
      <c r="L97" t="s">
        <v>148</v>
      </c>
      <c r="M97" t="s">
        <v>149</v>
      </c>
      <c r="N97" t="s">
        <v>465</v>
      </c>
      <c r="O97" t="s">
        <v>95</v>
      </c>
      <c r="P97" t="str">
        <f>"4170062346                    "</f>
        <v xml:space="preserve">4170062346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390.28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4</v>
      </c>
      <c r="BI97">
        <v>307</v>
      </c>
      <c r="BJ97">
        <v>380.7</v>
      </c>
      <c r="BK97">
        <v>381</v>
      </c>
      <c r="BL97">
        <v>1244.5899999999999</v>
      </c>
      <c r="BM97">
        <v>186.69</v>
      </c>
      <c r="BN97">
        <v>1431.28</v>
      </c>
      <c r="BO97">
        <v>1431.28</v>
      </c>
      <c r="BQ97" t="s">
        <v>466</v>
      </c>
      <c r="BR97" t="s">
        <v>97</v>
      </c>
      <c r="BS97" s="3">
        <v>45932</v>
      </c>
      <c r="BT97" s="4">
        <v>0.37291666666666667</v>
      </c>
      <c r="BU97" t="s">
        <v>467</v>
      </c>
      <c r="BV97" t="s">
        <v>86</v>
      </c>
      <c r="BY97">
        <v>1903406</v>
      </c>
      <c r="BZ97" t="s">
        <v>99</v>
      </c>
      <c r="CC97" t="s">
        <v>149</v>
      </c>
      <c r="CD97">
        <v>2094</v>
      </c>
      <c r="CE97" t="s">
        <v>468</v>
      </c>
      <c r="CF97" s="3">
        <v>45933</v>
      </c>
      <c r="CI97">
        <v>1</v>
      </c>
      <c r="CJ97">
        <v>1</v>
      </c>
      <c r="CK97">
        <v>42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"080068244282"</f>
        <v>080068244282</v>
      </c>
      <c r="F98" s="3">
        <v>45931</v>
      </c>
      <c r="G98">
        <v>202607</v>
      </c>
      <c r="H98" t="s">
        <v>79</v>
      </c>
      <c r="I98" t="s">
        <v>80</v>
      </c>
      <c r="J98" t="s">
        <v>91</v>
      </c>
      <c r="K98" t="s">
        <v>78</v>
      </c>
      <c r="L98" t="s">
        <v>233</v>
      </c>
      <c r="M98" t="s">
        <v>234</v>
      </c>
      <c r="N98" t="s">
        <v>235</v>
      </c>
      <c r="O98" t="s">
        <v>82</v>
      </c>
      <c r="P98" t="str">
        <f>"4170062333                    "</f>
        <v xml:space="preserve">4170062333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22.36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70.959999999999994</v>
      </c>
      <c r="BM98">
        <v>10.64</v>
      </c>
      <c r="BN98">
        <v>81.599999999999994</v>
      </c>
      <c r="BO98">
        <v>81.599999999999994</v>
      </c>
      <c r="BQ98" t="s">
        <v>236</v>
      </c>
      <c r="BR98" t="s">
        <v>97</v>
      </c>
      <c r="BS98" s="3">
        <v>45932</v>
      </c>
      <c r="BT98" s="4">
        <v>0.35972222222222222</v>
      </c>
      <c r="BU98" t="s">
        <v>237</v>
      </c>
      <c r="BV98" t="s">
        <v>86</v>
      </c>
      <c r="BY98">
        <v>1200</v>
      </c>
      <c r="BZ98" t="s">
        <v>87</v>
      </c>
      <c r="CA98" t="s">
        <v>146</v>
      </c>
      <c r="CC98" t="s">
        <v>234</v>
      </c>
      <c r="CD98" s="5" t="s">
        <v>238</v>
      </c>
      <c r="CE98" t="s">
        <v>120</v>
      </c>
      <c r="CF98" s="3">
        <v>45932</v>
      </c>
      <c r="CI98">
        <v>1</v>
      </c>
      <c r="CJ98">
        <v>1</v>
      </c>
      <c r="CK98">
        <v>21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"080068244306"</f>
        <v>080068244306</v>
      </c>
      <c r="F99" s="3">
        <v>45931</v>
      </c>
      <c r="G99">
        <v>202607</v>
      </c>
      <c r="H99" t="s">
        <v>79</v>
      </c>
      <c r="I99" t="s">
        <v>80</v>
      </c>
      <c r="J99" t="s">
        <v>91</v>
      </c>
      <c r="K99" t="s">
        <v>78</v>
      </c>
      <c r="L99" t="s">
        <v>322</v>
      </c>
      <c r="M99" t="s">
        <v>322</v>
      </c>
      <c r="N99" t="s">
        <v>376</v>
      </c>
      <c r="O99" t="s">
        <v>82</v>
      </c>
      <c r="P99" t="str">
        <f>"4170062334                    "</f>
        <v xml:space="preserve">4170062334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43.31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137.47</v>
      </c>
      <c r="BM99">
        <v>20.62</v>
      </c>
      <c r="BN99">
        <v>158.09</v>
      </c>
      <c r="BO99">
        <v>158.09</v>
      </c>
      <c r="BQ99" t="s">
        <v>377</v>
      </c>
      <c r="BR99" t="s">
        <v>97</v>
      </c>
      <c r="BS99" s="3">
        <v>45932</v>
      </c>
      <c r="BT99" s="4">
        <v>0.54027777777777775</v>
      </c>
      <c r="BU99" t="s">
        <v>378</v>
      </c>
      <c r="BV99" t="s">
        <v>86</v>
      </c>
      <c r="BY99">
        <v>1200</v>
      </c>
      <c r="BZ99" t="s">
        <v>87</v>
      </c>
      <c r="CA99" t="s">
        <v>326</v>
      </c>
      <c r="CC99" t="s">
        <v>322</v>
      </c>
      <c r="CD99">
        <v>7646</v>
      </c>
      <c r="CE99" t="s">
        <v>120</v>
      </c>
      <c r="CF99" s="3">
        <v>45933</v>
      </c>
      <c r="CI99">
        <v>1</v>
      </c>
      <c r="CJ99">
        <v>1</v>
      </c>
      <c r="CK99">
        <v>23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"080068244307"</f>
        <v>080068244307</v>
      </c>
      <c r="F100" s="3">
        <v>45931</v>
      </c>
      <c r="G100">
        <v>202607</v>
      </c>
      <c r="H100" t="s">
        <v>79</v>
      </c>
      <c r="I100" t="s">
        <v>80</v>
      </c>
      <c r="J100" t="s">
        <v>91</v>
      </c>
      <c r="K100" t="s">
        <v>78</v>
      </c>
      <c r="L100" t="s">
        <v>206</v>
      </c>
      <c r="M100" t="s">
        <v>207</v>
      </c>
      <c r="N100" t="s">
        <v>412</v>
      </c>
      <c r="O100" t="s">
        <v>82</v>
      </c>
      <c r="P100" t="str">
        <f>"4170062478                    "</f>
        <v xml:space="preserve">4170062478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100.54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9</v>
      </c>
      <c r="BJ100">
        <v>3.4</v>
      </c>
      <c r="BK100">
        <v>9</v>
      </c>
      <c r="BL100">
        <v>319.10000000000002</v>
      </c>
      <c r="BM100">
        <v>47.87</v>
      </c>
      <c r="BN100">
        <v>366.97</v>
      </c>
      <c r="BO100">
        <v>366.97</v>
      </c>
      <c r="BQ100" t="s">
        <v>413</v>
      </c>
      <c r="BR100" t="s">
        <v>97</v>
      </c>
      <c r="BS100" s="3">
        <v>45932</v>
      </c>
      <c r="BT100" s="4">
        <v>0.37569444444444444</v>
      </c>
      <c r="BU100" t="s">
        <v>414</v>
      </c>
      <c r="BV100" t="s">
        <v>86</v>
      </c>
      <c r="BY100">
        <v>16965</v>
      </c>
      <c r="BZ100" t="s">
        <v>87</v>
      </c>
      <c r="CA100" t="s">
        <v>415</v>
      </c>
      <c r="CC100" t="s">
        <v>207</v>
      </c>
      <c r="CD100">
        <v>7493</v>
      </c>
      <c r="CE100" t="s">
        <v>101</v>
      </c>
      <c r="CF100" s="3">
        <v>45933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"080068244346"</f>
        <v>080068244346</v>
      </c>
      <c r="F101" s="3">
        <v>45931</v>
      </c>
      <c r="G101">
        <v>202607</v>
      </c>
      <c r="H101" t="s">
        <v>79</v>
      </c>
      <c r="I101" t="s">
        <v>80</v>
      </c>
      <c r="J101" t="s">
        <v>91</v>
      </c>
      <c r="K101" t="s">
        <v>78</v>
      </c>
      <c r="L101" t="s">
        <v>469</v>
      </c>
      <c r="M101" t="s">
        <v>470</v>
      </c>
      <c r="N101" t="s">
        <v>471</v>
      </c>
      <c r="O101" t="s">
        <v>82</v>
      </c>
      <c r="P101" t="str">
        <f>"4170062497                    "</f>
        <v xml:space="preserve">4170062497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43.31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137.47</v>
      </c>
      <c r="BM101">
        <v>20.62</v>
      </c>
      <c r="BN101">
        <v>158.09</v>
      </c>
      <c r="BO101">
        <v>158.09</v>
      </c>
      <c r="BQ101" t="s">
        <v>472</v>
      </c>
      <c r="BR101" t="s">
        <v>97</v>
      </c>
      <c r="BS101" s="3">
        <v>45932</v>
      </c>
      <c r="BT101" s="4">
        <v>0.42499999999999999</v>
      </c>
      <c r="BU101" t="s">
        <v>473</v>
      </c>
      <c r="BV101" t="s">
        <v>86</v>
      </c>
      <c r="BY101">
        <v>1200</v>
      </c>
      <c r="BZ101" t="s">
        <v>87</v>
      </c>
      <c r="CA101" t="s">
        <v>474</v>
      </c>
      <c r="CC101" t="s">
        <v>470</v>
      </c>
      <c r="CD101">
        <v>7299</v>
      </c>
      <c r="CE101" t="s">
        <v>120</v>
      </c>
      <c r="CF101" s="3">
        <v>45933</v>
      </c>
      <c r="CI101">
        <v>1</v>
      </c>
      <c r="CJ101">
        <v>1</v>
      </c>
      <c r="CK101">
        <v>23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"080068244347"</f>
        <v>080068244347</v>
      </c>
      <c r="F102" s="3">
        <v>45931</v>
      </c>
      <c r="G102">
        <v>202607</v>
      </c>
      <c r="H102" t="s">
        <v>79</v>
      </c>
      <c r="I102" t="s">
        <v>80</v>
      </c>
      <c r="J102" t="s">
        <v>91</v>
      </c>
      <c r="K102" t="s">
        <v>78</v>
      </c>
      <c r="L102" t="s">
        <v>453</v>
      </c>
      <c r="M102" t="s">
        <v>454</v>
      </c>
      <c r="N102" t="s">
        <v>455</v>
      </c>
      <c r="O102" t="s">
        <v>82</v>
      </c>
      <c r="P102" t="str">
        <f>"4170062445                    "</f>
        <v xml:space="preserve">4170062445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44.69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4</v>
      </c>
      <c r="BJ102">
        <v>3.4</v>
      </c>
      <c r="BK102">
        <v>4</v>
      </c>
      <c r="BL102">
        <v>141.85</v>
      </c>
      <c r="BM102">
        <v>21.28</v>
      </c>
      <c r="BN102">
        <v>163.13</v>
      </c>
      <c r="BO102">
        <v>163.13</v>
      </c>
      <c r="BQ102" t="s">
        <v>456</v>
      </c>
      <c r="BR102" t="s">
        <v>97</v>
      </c>
      <c r="BS102" s="3">
        <v>45932</v>
      </c>
      <c r="BT102" s="4">
        <v>0.40138888888888891</v>
      </c>
      <c r="BU102" t="s">
        <v>434</v>
      </c>
      <c r="BV102" t="s">
        <v>86</v>
      </c>
      <c r="BY102">
        <v>16965</v>
      </c>
      <c r="BZ102" t="s">
        <v>87</v>
      </c>
      <c r="CA102" t="s">
        <v>457</v>
      </c>
      <c r="CC102" t="s">
        <v>454</v>
      </c>
      <c r="CD102">
        <v>3608</v>
      </c>
      <c r="CE102" t="s">
        <v>101</v>
      </c>
      <c r="CF102" s="3">
        <v>45932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"080068244385"</f>
        <v>080068244385</v>
      </c>
      <c r="F103" s="3">
        <v>45931</v>
      </c>
      <c r="G103">
        <v>202607</v>
      </c>
      <c r="H103" t="s">
        <v>79</v>
      </c>
      <c r="I103" t="s">
        <v>80</v>
      </c>
      <c r="J103" t="s">
        <v>91</v>
      </c>
      <c r="K103" t="s">
        <v>78</v>
      </c>
      <c r="L103" t="s">
        <v>306</v>
      </c>
      <c r="M103" t="s">
        <v>307</v>
      </c>
      <c r="N103" t="s">
        <v>335</v>
      </c>
      <c r="O103" t="s">
        <v>82</v>
      </c>
      <c r="P103" t="str">
        <f>"4170062471                    "</f>
        <v xml:space="preserve">4170062471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22.36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70.959999999999994</v>
      </c>
      <c r="BM103">
        <v>10.64</v>
      </c>
      <c r="BN103">
        <v>81.599999999999994</v>
      </c>
      <c r="BO103">
        <v>81.599999999999994</v>
      </c>
      <c r="BQ103" t="s">
        <v>475</v>
      </c>
      <c r="BR103" t="s">
        <v>97</v>
      </c>
      <c r="BS103" s="3">
        <v>45932</v>
      </c>
      <c r="BT103" s="4">
        <v>0.54861111111111116</v>
      </c>
      <c r="BU103" t="s">
        <v>476</v>
      </c>
      <c r="BV103" t="s">
        <v>90</v>
      </c>
      <c r="BW103" t="s">
        <v>136</v>
      </c>
      <c r="BX103" t="s">
        <v>137</v>
      </c>
      <c r="BY103">
        <v>1200</v>
      </c>
      <c r="BZ103" t="s">
        <v>87</v>
      </c>
      <c r="CA103" t="s">
        <v>311</v>
      </c>
      <c r="CC103" t="s">
        <v>307</v>
      </c>
      <c r="CD103">
        <v>4133</v>
      </c>
      <c r="CE103" t="s">
        <v>120</v>
      </c>
      <c r="CF103" s="3">
        <v>45932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"080068244386"</f>
        <v>080068244386</v>
      </c>
      <c r="F104" s="3">
        <v>45931</v>
      </c>
      <c r="G104">
        <v>202607</v>
      </c>
      <c r="H104" t="s">
        <v>79</v>
      </c>
      <c r="I104" t="s">
        <v>80</v>
      </c>
      <c r="J104" t="s">
        <v>91</v>
      </c>
      <c r="K104" t="s">
        <v>78</v>
      </c>
      <c r="L104" t="s">
        <v>446</v>
      </c>
      <c r="M104" t="s">
        <v>447</v>
      </c>
      <c r="N104" t="s">
        <v>448</v>
      </c>
      <c r="O104" t="s">
        <v>82</v>
      </c>
      <c r="P104" t="str">
        <f>"4170062525                    "</f>
        <v xml:space="preserve">4170062525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72.650000000000006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3</v>
      </c>
      <c r="BJ104">
        <v>3.4</v>
      </c>
      <c r="BK104">
        <v>3.5</v>
      </c>
      <c r="BL104">
        <v>230.59</v>
      </c>
      <c r="BM104">
        <v>34.590000000000003</v>
      </c>
      <c r="BN104">
        <v>265.18</v>
      </c>
      <c r="BO104">
        <v>265.18</v>
      </c>
      <c r="BQ104" t="s">
        <v>449</v>
      </c>
      <c r="BR104" t="s">
        <v>97</v>
      </c>
      <c r="BS104" s="3">
        <v>45932</v>
      </c>
      <c r="BT104" s="4">
        <v>0.52777777777777779</v>
      </c>
      <c r="BU104" t="s">
        <v>450</v>
      </c>
      <c r="BV104" t="s">
        <v>86</v>
      </c>
      <c r="BY104">
        <v>16965</v>
      </c>
      <c r="BZ104" t="s">
        <v>87</v>
      </c>
      <c r="CA104" t="s">
        <v>452</v>
      </c>
      <c r="CC104" t="s">
        <v>447</v>
      </c>
      <c r="CD104">
        <v>7130</v>
      </c>
      <c r="CE104" t="s">
        <v>101</v>
      </c>
      <c r="CF104" s="3">
        <v>45933</v>
      </c>
      <c r="CI104">
        <v>1</v>
      </c>
      <c r="CJ104">
        <v>1</v>
      </c>
      <c r="CK104">
        <v>23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"080068244413"</f>
        <v>080068244413</v>
      </c>
      <c r="F105" s="3">
        <v>45931</v>
      </c>
      <c r="G105">
        <v>202607</v>
      </c>
      <c r="H105" t="s">
        <v>79</v>
      </c>
      <c r="I105" t="s">
        <v>80</v>
      </c>
      <c r="J105" t="s">
        <v>91</v>
      </c>
      <c r="K105" t="s">
        <v>78</v>
      </c>
      <c r="L105" t="s">
        <v>206</v>
      </c>
      <c r="M105" t="s">
        <v>207</v>
      </c>
      <c r="N105" t="s">
        <v>477</v>
      </c>
      <c r="O105" t="s">
        <v>82</v>
      </c>
      <c r="P105" t="str">
        <f>"4170062389                    "</f>
        <v xml:space="preserve">4170062389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22.36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70.959999999999994</v>
      </c>
      <c r="BM105">
        <v>10.64</v>
      </c>
      <c r="BN105">
        <v>81.599999999999994</v>
      </c>
      <c r="BO105">
        <v>81.599999999999994</v>
      </c>
      <c r="BQ105" t="s">
        <v>478</v>
      </c>
      <c r="BR105" t="s">
        <v>97</v>
      </c>
      <c r="BS105" s="3">
        <v>45932</v>
      </c>
      <c r="BT105" s="4">
        <v>0.36041666666666666</v>
      </c>
      <c r="BU105" t="s">
        <v>479</v>
      </c>
      <c r="BV105" t="s">
        <v>86</v>
      </c>
      <c r="BY105">
        <v>1200</v>
      </c>
      <c r="BZ105" t="s">
        <v>87</v>
      </c>
      <c r="CA105" t="s">
        <v>480</v>
      </c>
      <c r="CC105" t="s">
        <v>207</v>
      </c>
      <c r="CD105">
        <v>7480</v>
      </c>
      <c r="CE105" t="s">
        <v>120</v>
      </c>
      <c r="CF105" s="3">
        <v>45933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"080068244419"</f>
        <v>080068244419</v>
      </c>
      <c r="F106" s="3">
        <v>45931</v>
      </c>
      <c r="G106">
        <v>202607</v>
      </c>
      <c r="H106" t="s">
        <v>79</v>
      </c>
      <c r="I106" t="s">
        <v>80</v>
      </c>
      <c r="J106" t="s">
        <v>91</v>
      </c>
      <c r="K106" t="s">
        <v>78</v>
      </c>
      <c r="L106" t="s">
        <v>265</v>
      </c>
      <c r="M106" t="s">
        <v>266</v>
      </c>
      <c r="N106" t="s">
        <v>267</v>
      </c>
      <c r="O106" t="s">
        <v>82</v>
      </c>
      <c r="P106" t="str">
        <f>"4170062444                    "</f>
        <v xml:space="preserve">4170062444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67.03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6</v>
      </c>
      <c r="BJ106">
        <v>3.4</v>
      </c>
      <c r="BK106">
        <v>6</v>
      </c>
      <c r="BL106">
        <v>212.75</v>
      </c>
      <c r="BM106">
        <v>31.91</v>
      </c>
      <c r="BN106">
        <v>244.66</v>
      </c>
      <c r="BO106">
        <v>244.66</v>
      </c>
      <c r="BQ106" t="s">
        <v>268</v>
      </c>
      <c r="BR106" t="s">
        <v>97</v>
      </c>
      <c r="BS106" s="3">
        <v>45932</v>
      </c>
      <c r="BT106" s="4">
        <v>0.33680555555555558</v>
      </c>
      <c r="BU106" t="s">
        <v>269</v>
      </c>
      <c r="BV106" t="s">
        <v>86</v>
      </c>
      <c r="BY106">
        <v>16965</v>
      </c>
      <c r="BZ106" t="s">
        <v>87</v>
      </c>
      <c r="CA106" t="s">
        <v>270</v>
      </c>
      <c r="CC106" t="s">
        <v>266</v>
      </c>
      <c r="CD106">
        <v>6230</v>
      </c>
      <c r="CE106" t="s">
        <v>101</v>
      </c>
      <c r="CF106" s="3">
        <v>45932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"080068244439"</f>
        <v>080068244439</v>
      </c>
      <c r="F107" s="3">
        <v>45931</v>
      </c>
      <c r="G107">
        <v>202607</v>
      </c>
      <c r="H107" t="s">
        <v>79</v>
      </c>
      <c r="I107" t="s">
        <v>80</v>
      </c>
      <c r="J107" t="s">
        <v>91</v>
      </c>
      <c r="K107" t="s">
        <v>78</v>
      </c>
      <c r="L107" t="s">
        <v>206</v>
      </c>
      <c r="M107" t="s">
        <v>207</v>
      </c>
      <c r="N107" t="s">
        <v>427</v>
      </c>
      <c r="O107" t="s">
        <v>82</v>
      </c>
      <c r="P107" t="str">
        <f>"4170062453                    "</f>
        <v xml:space="preserve">4170062453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22.36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70.959999999999994</v>
      </c>
      <c r="BM107">
        <v>10.64</v>
      </c>
      <c r="BN107">
        <v>81.599999999999994</v>
      </c>
      <c r="BO107">
        <v>81.599999999999994</v>
      </c>
      <c r="BQ107" t="s">
        <v>428</v>
      </c>
      <c r="BR107" t="s">
        <v>97</v>
      </c>
      <c r="BS107" s="3">
        <v>45932</v>
      </c>
      <c r="BT107" s="4">
        <v>0.32847222222222222</v>
      </c>
      <c r="BU107" t="s">
        <v>429</v>
      </c>
      <c r="BV107" t="s">
        <v>86</v>
      </c>
      <c r="BY107">
        <v>1200</v>
      </c>
      <c r="BZ107" t="s">
        <v>87</v>
      </c>
      <c r="CA107" t="s">
        <v>423</v>
      </c>
      <c r="CC107" t="s">
        <v>207</v>
      </c>
      <c r="CD107">
        <v>7530</v>
      </c>
      <c r="CE107" t="s">
        <v>120</v>
      </c>
      <c r="CF107" s="3">
        <v>45933</v>
      </c>
      <c r="CI107">
        <v>1</v>
      </c>
      <c r="CJ107">
        <v>1</v>
      </c>
      <c r="CK107">
        <v>21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"080068244459"</f>
        <v>080068244459</v>
      </c>
      <c r="F108" s="3">
        <v>45931</v>
      </c>
      <c r="G108">
        <v>202607</v>
      </c>
      <c r="H108" t="s">
        <v>79</v>
      </c>
      <c r="I108" t="s">
        <v>80</v>
      </c>
      <c r="J108" t="s">
        <v>91</v>
      </c>
      <c r="K108" t="s">
        <v>78</v>
      </c>
      <c r="L108" t="s">
        <v>322</v>
      </c>
      <c r="M108" t="s">
        <v>322</v>
      </c>
      <c r="N108" t="s">
        <v>481</v>
      </c>
      <c r="O108" t="s">
        <v>82</v>
      </c>
      <c r="P108" t="str">
        <f>"4170062328                    "</f>
        <v xml:space="preserve">4170062328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43.31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1.7</v>
      </c>
      <c r="BK108">
        <v>2</v>
      </c>
      <c r="BL108">
        <v>137.47</v>
      </c>
      <c r="BM108">
        <v>20.62</v>
      </c>
      <c r="BN108">
        <v>158.09</v>
      </c>
      <c r="BO108">
        <v>158.09</v>
      </c>
      <c r="BQ108" t="s">
        <v>482</v>
      </c>
      <c r="BR108" t="s">
        <v>97</v>
      </c>
      <c r="BS108" s="3">
        <v>45932</v>
      </c>
      <c r="BT108" s="4">
        <v>0.54027777777777775</v>
      </c>
      <c r="BU108" t="s">
        <v>378</v>
      </c>
      <c r="BV108" t="s">
        <v>86</v>
      </c>
      <c r="BY108">
        <v>8512</v>
      </c>
      <c r="BZ108" t="s">
        <v>87</v>
      </c>
      <c r="CA108" t="s">
        <v>326</v>
      </c>
      <c r="CC108" t="s">
        <v>322</v>
      </c>
      <c r="CD108">
        <v>7646</v>
      </c>
      <c r="CE108" t="s">
        <v>101</v>
      </c>
      <c r="CF108" s="3">
        <v>45933</v>
      </c>
      <c r="CI108">
        <v>1</v>
      </c>
      <c r="CJ108">
        <v>1</v>
      </c>
      <c r="CK108">
        <v>23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"080068244495"</f>
        <v>080068244495</v>
      </c>
      <c r="F109" s="3">
        <v>45931</v>
      </c>
      <c r="G109">
        <v>202607</v>
      </c>
      <c r="H109" t="s">
        <v>79</v>
      </c>
      <c r="I109" t="s">
        <v>80</v>
      </c>
      <c r="J109" t="s">
        <v>91</v>
      </c>
      <c r="K109" t="s">
        <v>78</v>
      </c>
      <c r="L109" t="s">
        <v>206</v>
      </c>
      <c r="M109" t="s">
        <v>207</v>
      </c>
      <c r="N109" t="s">
        <v>436</v>
      </c>
      <c r="O109" t="s">
        <v>82</v>
      </c>
      <c r="P109" t="str">
        <f>"4170062460                    "</f>
        <v xml:space="preserve">4170062460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22.36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70.959999999999994</v>
      </c>
      <c r="BM109">
        <v>10.64</v>
      </c>
      <c r="BN109">
        <v>81.599999999999994</v>
      </c>
      <c r="BO109">
        <v>81.599999999999994</v>
      </c>
      <c r="BQ109" t="s">
        <v>437</v>
      </c>
      <c r="BR109" t="s">
        <v>97</v>
      </c>
      <c r="BS109" s="3">
        <v>45932</v>
      </c>
      <c r="BT109" s="4">
        <v>0.42499999999999999</v>
      </c>
      <c r="BU109" t="s">
        <v>438</v>
      </c>
      <c r="BV109" t="s">
        <v>86</v>
      </c>
      <c r="BY109">
        <v>1200</v>
      </c>
      <c r="BZ109" t="s">
        <v>87</v>
      </c>
      <c r="CA109" t="s">
        <v>439</v>
      </c>
      <c r="CC109" t="s">
        <v>207</v>
      </c>
      <c r="CD109">
        <v>7800</v>
      </c>
      <c r="CE109" t="s">
        <v>120</v>
      </c>
      <c r="CF109" s="3">
        <v>45933</v>
      </c>
      <c r="CI109">
        <v>1</v>
      </c>
      <c r="CJ109">
        <v>1</v>
      </c>
      <c r="CK109">
        <v>21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"080068244515"</f>
        <v>080068244515</v>
      </c>
      <c r="F110" s="3">
        <v>45931</v>
      </c>
      <c r="G110">
        <v>202607</v>
      </c>
      <c r="H110" t="s">
        <v>79</v>
      </c>
      <c r="I110" t="s">
        <v>80</v>
      </c>
      <c r="J110" t="s">
        <v>91</v>
      </c>
      <c r="K110" t="s">
        <v>78</v>
      </c>
      <c r="L110" t="s">
        <v>322</v>
      </c>
      <c r="M110" t="s">
        <v>322</v>
      </c>
      <c r="N110" t="s">
        <v>483</v>
      </c>
      <c r="O110" t="s">
        <v>82</v>
      </c>
      <c r="P110" t="str">
        <f>"4170062442                    "</f>
        <v xml:space="preserve">4170062442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43.31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1.1000000000000001</v>
      </c>
      <c r="BK110">
        <v>2</v>
      </c>
      <c r="BL110">
        <v>137.47</v>
      </c>
      <c r="BM110">
        <v>20.62</v>
      </c>
      <c r="BN110">
        <v>158.09</v>
      </c>
      <c r="BO110">
        <v>158.09</v>
      </c>
      <c r="BQ110" t="s">
        <v>484</v>
      </c>
      <c r="BR110" t="s">
        <v>97</v>
      </c>
      <c r="BS110" s="3">
        <v>45932</v>
      </c>
      <c r="BT110" s="4">
        <v>0.53888888888888886</v>
      </c>
      <c r="BU110" t="s">
        <v>485</v>
      </c>
      <c r="BV110" t="s">
        <v>86</v>
      </c>
      <c r="BY110">
        <v>5510</v>
      </c>
      <c r="BZ110" t="s">
        <v>87</v>
      </c>
      <c r="CA110" t="s">
        <v>326</v>
      </c>
      <c r="CC110" t="s">
        <v>322</v>
      </c>
      <c r="CD110">
        <v>7646</v>
      </c>
      <c r="CE110" t="s">
        <v>101</v>
      </c>
      <c r="CF110" s="3">
        <v>45933</v>
      </c>
      <c r="CI110">
        <v>1</v>
      </c>
      <c r="CJ110">
        <v>1</v>
      </c>
      <c r="CK110">
        <v>23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"080068244530"</f>
        <v>080068244530</v>
      </c>
      <c r="F111" s="3">
        <v>45931</v>
      </c>
      <c r="G111">
        <v>202607</v>
      </c>
      <c r="H111" t="s">
        <v>79</v>
      </c>
      <c r="I111" t="s">
        <v>80</v>
      </c>
      <c r="J111" t="s">
        <v>91</v>
      </c>
      <c r="K111" t="s">
        <v>78</v>
      </c>
      <c r="L111" t="s">
        <v>306</v>
      </c>
      <c r="M111" t="s">
        <v>307</v>
      </c>
      <c r="N111" t="s">
        <v>335</v>
      </c>
      <c r="O111" t="s">
        <v>82</v>
      </c>
      <c r="P111" t="str">
        <f>"4170062469                    "</f>
        <v xml:space="preserve">4170062469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22.36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70.959999999999994</v>
      </c>
      <c r="BM111">
        <v>10.64</v>
      </c>
      <c r="BN111">
        <v>81.599999999999994</v>
      </c>
      <c r="BO111">
        <v>81.599999999999994</v>
      </c>
      <c r="BQ111" t="s">
        <v>475</v>
      </c>
      <c r="BR111" t="s">
        <v>97</v>
      </c>
      <c r="BS111" s="3">
        <v>45932</v>
      </c>
      <c r="BT111" s="4">
        <v>0.57638888888888884</v>
      </c>
      <c r="BU111" t="s">
        <v>476</v>
      </c>
      <c r="BV111" t="s">
        <v>90</v>
      </c>
      <c r="BW111" t="s">
        <v>136</v>
      </c>
      <c r="BX111" t="s">
        <v>137</v>
      </c>
      <c r="BY111">
        <v>1200</v>
      </c>
      <c r="BZ111" t="s">
        <v>87</v>
      </c>
      <c r="CA111" t="s">
        <v>311</v>
      </c>
      <c r="CC111" t="s">
        <v>307</v>
      </c>
      <c r="CD111">
        <v>4133</v>
      </c>
      <c r="CE111" t="s">
        <v>120</v>
      </c>
      <c r="CF111" s="3">
        <v>45932</v>
      </c>
      <c r="CI111">
        <v>1</v>
      </c>
      <c r="CJ111">
        <v>1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"080068244564"</f>
        <v>080068244564</v>
      </c>
      <c r="F112" s="3">
        <v>45931</v>
      </c>
      <c r="G112">
        <v>202607</v>
      </c>
      <c r="H112" t="s">
        <v>79</v>
      </c>
      <c r="I112" t="s">
        <v>80</v>
      </c>
      <c r="J112" t="s">
        <v>91</v>
      </c>
      <c r="K112" t="s">
        <v>78</v>
      </c>
      <c r="L112" t="s">
        <v>322</v>
      </c>
      <c r="M112" t="s">
        <v>322</v>
      </c>
      <c r="N112" t="s">
        <v>483</v>
      </c>
      <c r="O112" t="s">
        <v>82</v>
      </c>
      <c r="P112" t="str">
        <f>"4170062443                    "</f>
        <v xml:space="preserve">4170062443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141.11000000000001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7</v>
      </c>
      <c r="BJ112">
        <v>2.4</v>
      </c>
      <c r="BK112">
        <v>7</v>
      </c>
      <c r="BL112">
        <v>447.87</v>
      </c>
      <c r="BM112">
        <v>67.180000000000007</v>
      </c>
      <c r="BN112">
        <v>515.04999999999995</v>
      </c>
      <c r="BO112">
        <v>515.04999999999995</v>
      </c>
      <c r="BQ112" t="s">
        <v>486</v>
      </c>
      <c r="BR112" t="s">
        <v>97</v>
      </c>
      <c r="BS112" s="3">
        <v>45932</v>
      </c>
      <c r="BT112" s="4">
        <v>0.53888888888888886</v>
      </c>
      <c r="BU112" t="s">
        <v>485</v>
      </c>
      <c r="BV112" t="s">
        <v>86</v>
      </c>
      <c r="BY112">
        <v>12096</v>
      </c>
      <c r="BZ112" t="s">
        <v>87</v>
      </c>
      <c r="CA112" t="s">
        <v>326</v>
      </c>
      <c r="CC112" t="s">
        <v>322</v>
      </c>
      <c r="CD112">
        <v>7646</v>
      </c>
      <c r="CE112" t="s">
        <v>107</v>
      </c>
      <c r="CF112" s="3">
        <v>45933</v>
      </c>
      <c r="CI112">
        <v>1</v>
      </c>
      <c r="CJ112">
        <v>1</v>
      </c>
      <c r="CK112">
        <v>23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"080068244623"</f>
        <v>080068244623</v>
      </c>
      <c r="F113" s="3">
        <v>45931</v>
      </c>
      <c r="G113">
        <v>202607</v>
      </c>
      <c r="H113" t="s">
        <v>79</v>
      </c>
      <c r="I113" t="s">
        <v>80</v>
      </c>
      <c r="J113" t="s">
        <v>91</v>
      </c>
      <c r="K113" t="s">
        <v>78</v>
      </c>
      <c r="L113" t="s">
        <v>206</v>
      </c>
      <c r="M113" t="s">
        <v>207</v>
      </c>
      <c r="N113" t="s">
        <v>427</v>
      </c>
      <c r="O113" t="s">
        <v>82</v>
      </c>
      <c r="P113" t="str">
        <f>"4170062465                    "</f>
        <v xml:space="preserve">4170062465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55.86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5</v>
      </c>
      <c r="BJ113">
        <v>1.8</v>
      </c>
      <c r="BK113">
        <v>5</v>
      </c>
      <c r="BL113">
        <v>177.3</v>
      </c>
      <c r="BM113">
        <v>26.6</v>
      </c>
      <c r="BN113">
        <v>203.9</v>
      </c>
      <c r="BO113">
        <v>203.9</v>
      </c>
      <c r="BQ113" t="s">
        <v>428</v>
      </c>
      <c r="BR113" t="s">
        <v>97</v>
      </c>
      <c r="BS113" s="3">
        <v>45932</v>
      </c>
      <c r="BT113" s="4">
        <v>0.32847222222222222</v>
      </c>
      <c r="BU113" t="s">
        <v>429</v>
      </c>
      <c r="BV113" t="s">
        <v>86</v>
      </c>
      <c r="BY113">
        <v>8880</v>
      </c>
      <c r="BZ113" t="s">
        <v>87</v>
      </c>
      <c r="CA113" t="s">
        <v>423</v>
      </c>
      <c r="CC113" t="s">
        <v>207</v>
      </c>
      <c r="CD113">
        <v>7530</v>
      </c>
      <c r="CE113" t="s">
        <v>107</v>
      </c>
      <c r="CF113" s="3">
        <v>45933</v>
      </c>
      <c r="CI113">
        <v>1</v>
      </c>
      <c r="CJ113">
        <v>1</v>
      </c>
      <c r="CK113">
        <v>21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"080068244851"</f>
        <v>080068244851</v>
      </c>
      <c r="F114" s="3">
        <v>45931</v>
      </c>
      <c r="G114">
        <v>202607</v>
      </c>
      <c r="H114" t="s">
        <v>79</v>
      </c>
      <c r="I114" t="s">
        <v>80</v>
      </c>
      <c r="J114" t="s">
        <v>91</v>
      </c>
      <c r="K114" t="s">
        <v>78</v>
      </c>
      <c r="L114" t="s">
        <v>487</v>
      </c>
      <c r="M114" t="s">
        <v>488</v>
      </c>
      <c r="N114" t="s">
        <v>489</v>
      </c>
      <c r="O114" t="s">
        <v>82</v>
      </c>
      <c r="P114" t="str">
        <f>"4170062386                    "</f>
        <v xml:space="preserve">4170062386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43.31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137.47</v>
      </c>
      <c r="BM114">
        <v>20.62</v>
      </c>
      <c r="BN114">
        <v>158.09</v>
      </c>
      <c r="BO114">
        <v>158.09</v>
      </c>
      <c r="BQ114" t="s">
        <v>490</v>
      </c>
      <c r="BR114" t="s">
        <v>97</v>
      </c>
      <c r="BS114" s="3">
        <v>45932</v>
      </c>
      <c r="BT114" s="4">
        <v>0.50416666666666665</v>
      </c>
      <c r="BU114" t="s">
        <v>491</v>
      </c>
      <c r="BV114" t="s">
        <v>86</v>
      </c>
      <c r="BY114">
        <v>1200</v>
      </c>
      <c r="BZ114" t="s">
        <v>87</v>
      </c>
      <c r="CA114" t="s">
        <v>492</v>
      </c>
      <c r="CC114" t="s">
        <v>488</v>
      </c>
      <c r="CD114">
        <v>6715</v>
      </c>
      <c r="CE114" t="s">
        <v>120</v>
      </c>
      <c r="CF114" s="3">
        <v>45933</v>
      </c>
      <c r="CI114">
        <v>2</v>
      </c>
      <c r="CJ114">
        <v>1</v>
      </c>
      <c r="CK114">
        <v>23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"080068244895"</f>
        <v>080068244895</v>
      </c>
      <c r="F115" s="3">
        <v>45931</v>
      </c>
      <c r="G115">
        <v>202607</v>
      </c>
      <c r="H115" t="s">
        <v>79</v>
      </c>
      <c r="I115" t="s">
        <v>80</v>
      </c>
      <c r="J115" t="s">
        <v>91</v>
      </c>
      <c r="K115" t="s">
        <v>78</v>
      </c>
      <c r="L115" t="s">
        <v>300</v>
      </c>
      <c r="M115" t="s">
        <v>301</v>
      </c>
      <c r="N115" t="s">
        <v>493</v>
      </c>
      <c r="O115" t="s">
        <v>82</v>
      </c>
      <c r="P115" t="str">
        <f>"4170062468                    "</f>
        <v xml:space="preserve">4170062468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31.44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99.79</v>
      </c>
      <c r="BM115">
        <v>14.97</v>
      </c>
      <c r="BN115">
        <v>114.76</v>
      </c>
      <c r="BO115">
        <v>114.76</v>
      </c>
      <c r="BQ115" t="s">
        <v>494</v>
      </c>
      <c r="BR115" t="s">
        <v>97</v>
      </c>
      <c r="BS115" s="3">
        <v>45932</v>
      </c>
      <c r="BT115" s="4">
        <v>0.41458333333333336</v>
      </c>
      <c r="BU115" t="s">
        <v>495</v>
      </c>
      <c r="BV115" t="s">
        <v>86</v>
      </c>
      <c r="BY115">
        <v>1200</v>
      </c>
      <c r="BZ115" t="s">
        <v>87</v>
      </c>
      <c r="CA115" t="s">
        <v>496</v>
      </c>
      <c r="CC115" t="s">
        <v>301</v>
      </c>
      <c r="CD115">
        <v>1739</v>
      </c>
      <c r="CE115" t="s">
        <v>120</v>
      </c>
      <c r="CF115" s="3">
        <v>45932</v>
      </c>
      <c r="CI115">
        <v>1</v>
      </c>
      <c r="CJ115">
        <v>1</v>
      </c>
      <c r="CK115">
        <v>24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"080068244896"</f>
        <v>080068244896</v>
      </c>
      <c r="F116" s="3">
        <v>45931</v>
      </c>
      <c r="G116">
        <v>202607</v>
      </c>
      <c r="H116" t="s">
        <v>79</v>
      </c>
      <c r="I116" t="s">
        <v>80</v>
      </c>
      <c r="J116" t="s">
        <v>91</v>
      </c>
      <c r="K116" t="s">
        <v>78</v>
      </c>
      <c r="L116" t="s">
        <v>148</v>
      </c>
      <c r="M116" t="s">
        <v>149</v>
      </c>
      <c r="N116" t="s">
        <v>497</v>
      </c>
      <c r="O116" t="s">
        <v>226</v>
      </c>
      <c r="P116" t="str">
        <f>"4170062537                    "</f>
        <v xml:space="preserve">4170062537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17.47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16.739999999999998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6</v>
      </c>
      <c r="BJ116">
        <v>2.9</v>
      </c>
      <c r="BK116">
        <v>6</v>
      </c>
      <c r="BL116">
        <v>72.180000000000007</v>
      </c>
      <c r="BM116">
        <v>10.83</v>
      </c>
      <c r="BN116">
        <v>83.01</v>
      </c>
      <c r="BO116">
        <v>83.01</v>
      </c>
      <c r="BQ116" t="s">
        <v>498</v>
      </c>
      <c r="BR116" t="s">
        <v>97</v>
      </c>
      <c r="BS116" s="3">
        <v>45932</v>
      </c>
      <c r="BT116" s="4">
        <v>0.46527777777777779</v>
      </c>
      <c r="BU116" t="s">
        <v>499</v>
      </c>
      <c r="BV116" t="s">
        <v>86</v>
      </c>
      <c r="BY116">
        <v>14440</v>
      </c>
      <c r="BZ116" t="s">
        <v>500</v>
      </c>
      <c r="CA116" t="s">
        <v>501</v>
      </c>
      <c r="CC116" t="s">
        <v>149</v>
      </c>
      <c r="CD116">
        <v>2188</v>
      </c>
      <c r="CE116" t="s">
        <v>107</v>
      </c>
      <c r="CF116" s="3">
        <v>45933</v>
      </c>
      <c r="CI116">
        <v>1</v>
      </c>
      <c r="CJ116">
        <v>1</v>
      </c>
      <c r="CK116">
        <v>32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"080068244928"</f>
        <v>080068244928</v>
      </c>
      <c r="F117" s="3">
        <v>45931</v>
      </c>
      <c r="G117">
        <v>202607</v>
      </c>
      <c r="H117" t="s">
        <v>79</v>
      </c>
      <c r="I117" t="s">
        <v>80</v>
      </c>
      <c r="J117" t="s">
        <v>91</v>
      </c>
      <c r="K117" t="s">
        <v>78</v>
      </c>
      <c r="L117" t="s">
        <v>223</v>
      </c>
      <c r="M117" t="s">
        <v>224</v>
      </c>
      <c r="N117" t="s">
        <v>502</v>
      </c>
      <c r="O117" t="s">
        <v>82</v>
      </c>
      <c r="P117" t="str">
        <f>"4170062411                    "</f>
        <v xml:space="preserve">4170062411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17.46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55.42</v>
      </c>
      <c r="BM117">
        <v>8.31</v>
      </c>
      <c r="BN117">
        <v>63.73</v>
      </c>
      <c r="BO117">
        <v>63.73</v>
      </c>
      <c r="BQ117" t="s">
        <v>503</v>
      </c>
      <c r="BR117" t="s">
        <v>97</v>
      </c>
      <c r="BS117" s="3">
        <v>45932</v>
      </c>
      <c r="BT117" s="4">
        <v>0.34791666666666665</v>
      </c>
      <c r="BU117" t="s">
        <v>504</v>
      </c>
      <c r="BV117" t="s">
        <v>86</v>
      </c>
      <c r="BY117">
        <v>1200</v>
      </c>
      <c r="BZ117" t="s">
        <v>87</v>
      </c>
      <c r="CC117" t="s">
        <v>224</v>
      </c>
      <c r="CD117">
        <v>1459</v>
      </c>
      <c r="CE117" t="s">
        <v>120</v>
      </c>
      <c r="CF117" s="3">
        <v>45932</v>
      </c>
      <c r="CI117">
        <v>1</v>
      </c>
      <c r="CJ117">
        <v>1</v>
      </c>
      <c r="CK117">
        <v>22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"080068244941"</f>
        <v>080068244941</v>
      </c>
      <c r="F118" s="3">
        <v>45931</v>
      </c>
      <c r="G118">
        <v>202607</v>
      </c>
      <c r="H118" t="s">
        <v>79</v>
      </c>
      <c r="I118" t="s">
        <v>80</v>
      </c>
      <c r="J118" t="s">
        <v>91</v>
      </c>
      <c r="K118" t="s">
        <v>78</v>
      </c>
      <c r="L118" t="s">
        <v>223</v>
      </c>
      <c r="M118" t="s">
        <v>224</v>
      </c>
      <c r="N118" t="s">
        <v>505</v>
      </c>
      <c r="O118" t="s">
        <v>226</v>
      </c>
      <c r="P118" t="str">
        <f>"4170062507                    "</f>
        <v xml:space="preserve">4170062507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17.47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6</v>
      </c>
      <c r="BJ118">
        <v>5.3</v>
      </c>
      <c r="BK118">
        <v>6</v>
      </c>
      <c r="BL118">
        <v>55.44</v>
      </c>
      <c r="BM118">
        <v>8.32</v>
      </c>
      <c r="BN118">
        <v>63.76</v>
      </c>
      <c r="BO118">
        <v>63.76</v>
      </c>
      <c r="BQ118" t="s">
        <v>506</v>
      </c>
      <c r="BR118" t="s">
        <v>97</v>
      </c>
      <c r="BS118" s="3">
        <v>45932</v>
      </c>
      <c r="BT118" s="4">
        <v>0.59444444444444444</v>
      </c>
      <c r="BU118" t="s">
        <v>507</v>
      </c>
      <c r="BV118" t="s">
        <v>86</v>
      </c>
      <c r="BY118">
        <v>26448</v>
      </c>
      <c r="BZ118" t="s">
        <v>99</v>
      </c>
      <c r="CA118" t="s">
        <v>508</v>
      </c>
      <c r="CC118" t="s">
        <v>224</v>
      </c>
      <c r="CD118">
        <v>1459</v>
      </c>
      <c r="CE118" t="s">
        <v>107</v>
      </c>
      <c r="CF118" s="3">
        <v>45932</v>
      </c>
      <c r="CI118">
        <v>1</v>
      </c>
      <c r="CJ118">
        <v>1</v>
      </c>
      <c r="CK118">
        <v>32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"080068244949"</f>
        <v>080068244949</v>
      </c>
      <c r="F119" s="3">
        <v>45931</v>
      </c>
      <c r="G119">
        <v>202607</v>
      </c>
      <c r="H119" t="s">
        <v>79</v>
      </c>
      <c r="I119" t="s">
        <v>80</v>
      </c>
      <c r="J119" t="s">
        <v>91</v>
      </c>
      <c r="K119" t="s">
        <v>78</v>
      </c>
      <c r="L119" t="s">
        <v>206</v>
      </c>
      <c r="M119" t="s">
        <v>207</v>
      </c>
      <c r="N119" t="s">
        <v>458</v>
      </c>
      <c r="O119" t="s">
        <v>82</v>
      </c>
      <c r="P119" t="str">
        <f>"4170062379                    "</f>
        <v xml:space="preserve">4170062379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22.36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70.959999999999994</v>
      </c>
      <c r="BM119">
        <v>10.64</v>
      </c>
      <c r="BN119">
        <v>81.599999999999994</v>
      </c>
      <c r="BO119">
        <v>81.599999999999994</v>
      </c>
      <c r="BQ119" t="s">
        <v>459</v>
      </c>
      <c r="BR119" t="s">
        <v>97</v>
      </c>
      <c r="BS119" s="3">
        <v>45932</v>
      </c>
      <c r="BT119" s="4">
        <v>0.40625</v>
      </c>
      <c r="BU119" t="s">
        <v>460</v>
      </c>
      <c r="BV119" t="s">
        <v>86</v>
      </c>
      <c r="BY119">
        <v>1200</v>
      </c>
      <c r="BZ119" t="s">
        <v>87</v>
      </c>
      <c r="CA119" t="s">
        <v>461</v>
      </c>
      <c r="CC119" t="s">
        <v>207</v>
      </c>
      <c r="CD119">
        <v>7530</v>
      </c>
      <c r="CE119" t="s">
        <v>120</v>
      </c>
      <c r="CF119" s="3">
        <v>45933</v>
      </c>
      <c r="CI119">
        <v>1</v>
      </c>
      <c r="CJ119">
        <v>1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"080068244975"</f>
        <v>080068244975</v>
      </c>
      <c r="F120" s="3">
        <v>45931</v>
      </c>
      <c r="G120">
        <v>202607</v>
      </c>
      <c r="H120" t="s">
        <v>79</v>
      </c>
      <c r="I120" t="s">
        <v>80</v>
      </c>
      <c r="J120" t="s">
        <v>91</v>
      </c>
      <c r="K120" t="s">
        <v>78</v>
      </c>
      <c r="L120" t="s">
        <v>206</v>
      </c>
      <c r="M120" t="s">
        <v>207</v>
      </c>
      <c r="N120" t="s">
        <v>458</v>
      </c>
      <c r="O120" t="s">
        <v>82</v>
      </c>
      <c r="P120" t="str">
        <f>"4170062455                    "</f>
        <v xml:space="preserve">4170062455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22.36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70.959999999999994</v>
      </c>
      <c r="BM120">
        <v>10.64</v>
      </c>
      <c r="BN120">
        <v>81.599999999999994</v>
      </c>
      <c r="BO120">
        <v>81.599999999999994</v>
      </c>
      <c r="BQ120" t="s">
        <v>459</v>
      </c>
      <c r="BR120" t="s">
        <v>97</v>
      </c>
      <c r="BS120" s="3">
        <v>45932</v>
      </c>
      <c r="BT120" s="4">
        <v>0.40625</v>
      </c>
      <c r="BU120" t="s">
        <v>460</v>
      </c>
      <c r="BV120" t="s">
        <v>86</v>
      </c>
      <c r="BY120">
        <v>1200</v>
      </c>
      <c r="BZ120" t="s">
        <v>87</v>
      </c>
      <c r="CA120" t="s">
        <v>461</v>
      </c>
      <c r="CC120" t="s">
        <v>207</v>
      </c>
      <c r="CD120">
        <v>7530</v>
      </c>
      <c r="CE120" t="s">
        <v>120</v>
      </c>
      <c r="CF120" s="3">
        <v>45933</v>
      </c>
      <c r="CI120">
        <v>1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"080068244986"</f>
        <v>080068244986</v>
      </c>
      <c r="F121" s="3">
        <v>45931</v>
      </c>
      <c r="G121">
        <v>202607</v>
      </c>
      <c r="H121" t="s">
        <v>79</v>
      </c>
      <c r="I121" t="s">
        <v>80</v>
      </c>
      <c r="J121" t="s">
        <v>91</v>
      </c>
      <c r="K121" t="s">
        <v>78</v>
      </c>
      <c r="L121" t="s">
        <v>79</v>
      </c>
      <c r="M121" t="s">
        <v>80</v>
      </c>
      <c r="N121" t="s">
        <v>509</v>
      </c>
      <c r="O121" t="s">
        <v>226</v>
      </c>
      <c r="P121" t="str">
        <f>"4170062407                    "</f>
        <v xml:space="preserve">4170062407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17.47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5</v>
      </c>
      <c r="BJ121">
        <v>1.8</v>
      </c>
      <c r="BK121">
        <v>5</v>
      </c>
      <c r="BL121">
        <v>55.44</v>
      </c>
      <c r="BM121">
        <v>8.32</v>
      </c>
      <c r="BN121">
        <v>63.76</v>
      </c>
      <c r="BO121">
        <v>63.76</v>
      </c>
      <c r="BQ121" t="s">
        <v>510</v>
      </c>
      <c r="BR121" t="s">
        <v>97</v>
      </c>
      <c r="BS121" s="3">
        <v>45932</v>
      </c>
      <c r="BT121" s="4">
        <v>0.34583333333333333</v>
      </c>
      <c r="BU121" t="s">
        <v>511</v>
      </c>
      <c r="BV121" t="s">
        <v>86</v>
      </c>
      <c r="BY121">
        <v>8976</v>
      </c>
      <c r="BZ121" t="s">
        <v>99</v>
      </c>
      <c r="CA121" t="s">
        <v>88</v>
      </c>
      <c r="CC121" t="s">
        <v>80</v>
      </c>
      <c r="CD121">
        <v>1600</v>
      </c>
      <c r="CE121" t="s">
        <v>107</v>
      </c>
      <c r="CF121" s="3">
        <v>45932</v>
      </c>
      <c r="CI121">
        <v>1</v>
      </c>
      <c r="CJ121">
        <v>1</v>
      </c>
      <c r="CK121">
        <v>32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"080068244998"</f>
        <v>080068244998</v>
      </c>
      <c r="F122" s="3">
        <v>45931</v>
      </c>
      <c r="G122">
        <v>202607</v>
      </c>
      <c r="H122" t="s">
        <v>79</v>
      </c>
      <c r="I122" t="s">
        <v>80</v>
      </c>
      <c r="J122" t="s">
        <v>91</v>
      </c>
      <c r="K122" t="s">
        <v>78</v>
      </c>
      <c r="L122" t="s">
        <v>206</v>
      </c>
      <c r="M122" t="s">
        <v>207</v>
      </c>
      <c r="N122" t="s">
        <v>458</v>
      </c>
      <c r="O122" t="s">
        <v>82</v>
      </c>
      <c r="P122" t="str">
        <f>"4170062456                    "</f>
        <v xml:space="preserve">4170062456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22.36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70.959999999999994</v>
      </c>
      <c r="BM122">
        <v>10.64</v>
      </c>
      <c r="BN122">
        <v>81.599999999999994</v>
      </c>
      <c r="BO122">
        <v>81.599999999999994</v>
      </c>
      <c r="BQ122" t="s">
        <v>459</v>
      </c>
      <c r="BR122" t="s">
        <v>97</v>
      </c>
      <c r="BS122" s="3">
        <v>45932</v>
      </c>
      <c r="BT122" s="4">
        <v>0.40625</v>
      </c>
      <c r="BU122" t="s">
        <v>460</v>
      </c>
      <c r="BV122" t="s">
        <v>86</v>
      </c>
      <c r="BY122">
        <v>1200</v>
      </c>
      <c r="BZ122" t="s">
        <v>87</v>
      </c>
      <c r="CA122" t="s">
        <v>461</v>
      </c>
      <c r="CC122" t="s">
        <v>207</v>
      </c>
      <c r="CD122">
        <v>7535</v>
      </c>
      <c r="CE122" t="s">
        <v>120</v>
      </c>
      <c r="CF122" s="3">
        <v>45933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"080068245013"</f>
        <v>080068245013</v>
      </c>
      <c r="F123" s="3">
        <v>45931</v>
      </c>
      <c r="G123">
        <v>202607</v>
      </c>
      <c r="H123" t="s">
        <v>79</v>
      </c>
      <c r="I123" t="s">
        <v>80</v>
      </c>
      <c r="J123" t="s">
        <v>91</v>
      </c>
      <c r="K123" t="s">
        <v>78</v>
      </c>
      <c r="L123" t="s">
        <v>333</v>
      </c>
      <c r="M123" t="s">
        <v>334</v>
      </c>
      <c r="N123" t="s">
        <v>512</v>
      </c>
      <c r="O123" t="s">
        <v>82</v>
      </c>
      <c r="P123" t="str">
        <f>"4170062416                    "</f>
        <v xml:space="preserve">4170062416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22.36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70.959999999999994</v>
      </c>
      <c r="BM123">
        <v>10.64</v>
      </c>
      <c r="BN123">
        <v>81.599999999999994</v>
      </c>
      <c r="BO123">
        <v>81.599999999999994</v>
      </c>
      <c r="BQ123" t="s">
        <v>513</v>
      </c>
      <c r="BR123" t="s">
        <v>97</v>
      </c>
      <c r="BS123" s="3">
        <v>45932</v>
      </c>
      <c r="BT123" s="4">
        <v>0.43125000000000002</v>
      </c>
      <c r="BU123" t="s">
        <v>514</v>
      </c>
      <c r="BV123" t="s">
        <v>86</v>
      </c>
      <c r="BY123">
        <v>1200</v>
      </c>
      <c r="BZ123" t="s">
        <v>87</v>
      </c>
      <c r="CA123" t="s">
        <v>142</v>
      </c>
      <c r="CC123" t="s">
        <v>334</v>
      </c>
      <c r="CD123">
        <v>6220</v>
      </c>
      <c r="CE123" t="s">
        <v>120</v>
      </c>
      <c r="CF123" s="3">
        <v>45932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"080068245124"</f>
        <v>080068245124</v>
      </c>
      <c r="F124" s="3">
        <v>45931</v>
      </c>
      <c r="G124">
        <v>202607</v>
      </c>
      <c r="H124" t="s">
        <v>79</v>
      </c>
      <c r="I124" t="s">
        <v>80</v>
      </c>
      <c r="J124" t="s">
        <v>91</v>
      </c>
      <c r="K124" t="s">
        <v>78</v>
      </c>
      <c r="L124" t="s">
        <v>108</v>
      </c>
      <c r="M124" t="s">
        <v>109</v>
      </c>
      <c r="N124" t="s">
        <v>515</v>
      </c>
      <c r="O124" t="s">
        <v>82</v>
      </c>
      <c r="P124" t="str">
        <f>"4170062494                    "</f>
        <v xml:space="preserve">4170062494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94.95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5</v>
      </c>
      <c r="BJ124">
        <v>8.3000000000000007</v>
      </c>
      <c r="BK124">
        <v>8.5</v>
      </c>
      <c r="BL124">
        <v>301.37</v>
      </c>
      <c r="BM124">
        <v>45.21</v>
      </c>
      <c r="BN124">
        <v>346.58</v>
      </c>
      <c r="BO124">
        <v>346.58</v>
      </c>
      <c r="BQ124" t="s">
        <v>516</v>
      </c>
      <c r="BR124" t="s">
        <v>97</v>
      </c>
      <c r="BS124" s="3">
        <v>45932</v>
      </c>
      <c r="BT124" s="4">
        <v>0.41180555555555554</v>
      </c>
      <c r="BU124" t="s">
        <v>517</v>
      </c>
      <c r="BV124" t="s">
        <v>86</v>
      </c>
      <c r="BY124">
        <v>41616</v>
      </c>
      <c r="BZ124" t="s">
        <v>87</v>
      </c>
      <c r="CA124" t="s">
        <v>113</v>
      </c>
      <c r="CC124" t="s">
        <v>109</v>
      </c>
      <c r="CD124">
        <v>6001</v>
      </c>
      <c r="CE124" t="s">
        <v>107</v>
      </c>
      <c r="CF124" s="3">
        <v>45932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"080068245127"</f>
        <v>080068245127</v>
      </c>
      <c r="F125" s="3">
        <v>45931</v>
      </c>
      <c r="G125">
        <v>202607</v>
      </c>
      <c r="H125" t="s">
        <v>79</v>
      </c>
      <c r="I125" t="s">
        <v>80</v>
      </c>
      <c r="J125" t="s">
        <v>91</v>
      </c>
      <c r="K125" t="s">
        <v>78</v>
      </c>
      <c r="L125" t="s">
        <v>148</v>
      </c>
      <c r="M125" t="s">
        <v>149</v>
      </c>
      <c r="N125" t="s">
        <v>465</v>
      </c>
      <c r="O125" t="s">
        <v>82</v>
      </c>
      <c r="P125" t="str">
        <f>"4170062513                    "</f>
        <v xml:space="preserve">4170062513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17.46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55.42</v>
      </c>
      <c r="BM125">
        <v>8.31</v>
      </c>
      <c r="BN125">
        <v>63.73</v>
      </c>
      <c r="BO125">
        <v>63.73</v>
      </c>
      <c r="BQ125" t="s">
        <v>466</v>
      </c>
      <c r="BR125" t="s">
        <v>97</v>
      </c>
      <c r="BS125" s="3">
        <v>45932</v>
      </c>
      <c r="BT125" s="4">
        <v>0.42916666666666664</v>
      </c>
      <c r="BU125" t="s">
        <v>518</v>
      </c>
      <c r="BV125" t="s">
        <v>86</v>
      </c>
      <c r="BY125">
        <v>1200</v>
      </c>
      <c r="BZ125" t="s">
        <v>87</v>
      </c>
      <c r="CA125" t="s">
        <v>519</v>
      </c>
      <c r="CC125" t="s">
        <v>149</v>
      </c>
      <c r="CD125">
        <v>2094</v>
      </c>
      <c r="CE125" t="s">
        <v>120</v>
      </c>
      <c r="CF125" s="3">
        <v>45932</v>
      </c>
      <c r="CI125">
        <v>1</v>
      </c>
      <c r="CJ125">
        <v>1</v>
      </c>
      <c r="CK125">
        <v>22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"080068245150"</f>
        <v>080068245150</v>
      </c>
      <c r="F126" s="3">
        <v>45931</v>
      </c>
      <c r="G126">
        <v>202607</v>
      </c>
      <c r="H126" t="s">
        <v>79</v>
      </c>
      <c r="I126" t="s">
        <v>80</v>
      </c>
      <c r="J126" t="s">
        <v>91</v>
      </c>
      <c r="K126" t="s">
        <v>78</v>
      </c>
      <c r="L126" t="s">
        <v>168</v>
      </c>
      <c r="M126" t="s">
        <v>169</v>
      </c>
      <c r="N126" t="s">
        <v>520</v>
      </c>
      <c r="O126" t="s">
        <v>82</v>
      </c>
      <c r="P126" t="str">
        <f>"4170062509                    "</f>
        <v xml:space="preserve">4170062509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22.36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70.959999999999994</v>
      </c>
      <c r="BM126">
        <v>10.64</v>
      </c>
      <c r="BN126">
        <v>81.599999999999994</v>
      </c>
      <c r="BO126">
        <v>81.599999999999994</v>
      </c>
      <c r="BQ126" t="s">
        <v>521</v>
      </c>
      <c r="BR126" t="s">
        <v>97</v>
      </c>
      <c r="BS126" s="3">
        <v>45933</v>
      </c>
      <c r="BT126" s="4">
        <v>0.53194444444444444</v>
      </c>
      <c r="BU126" t="s">
        <v>522</v>
      </c>
      <c r="BV126" t="s">
        <v>90</v>
      </c>
      <c r="BW126" t="s">
        <v>188</v>
      </c>
      <c r="BX126" t="s">
        <v>189</v>
      </c>
      <c r="BY126">
        <v>1200</v>
      </c>
      <c r="CC126" t="s">
        <v>169</v>
      </c>
      <c r="CD126" s="5" t="s">
        <v>190</v>
      </c>
      <c r="CE126" t="s">
        <v>147</v>
      </c>
      <c r="CF126" s="3">
        <v>45936</v>
      </c>
      <c r="CI126">
        <v>1</v>
      </c>
      <c r="CJ126">
        <v>2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"080068245163"</f>
        <v>080068245163</v>
      </c>
      <c r="F127" s="3">
        <v>45931</v>
      </c>
      <c r="G127">
        <v>202607</v>
      </c>
      <c r="H127" t="s">
        <v>79</v>
      </c>
      <c r="I127" t="s">
        <v>80</v>
      </c>
      <c r="J127" t="s">
        <v>91</v>
      </c>
      <c r="K127" t="s">
        <v>78</v>
      </c>
      <c r="L127" t="s">
        <v>300</v>
      </c>
      <c r="M127" t="s">
        <v>301</v>
      </c>
      <c r="N127" t="s">
        <v>523</v>
      </c>
      <c r="O127" t="s">
        <v>226</v>
      </c>
      <c r="P127" t="str">
        <f>"4170062447                    "</f>
        <v xml:space="preserve">4170062447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125.79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7</v>
      </c>
      <c r="BJ127">
        <v>1.9</v>
      </c>
      <c r="BK127">
        <v>7</v>
      </c>
      <c r="BL127">
        <v>399.24</v>
      </c>
      <c r="BM127">
        <v>59.89</v>
      </c>
      <c r="BN127">
        <v>459.13</v>
      </c>
      <c r="BO127">
        <v>459.13</v>
      </c>
      <c r="BQ127" t="s">
        <v>524</v>
      </c>
      <c r="BR127" t="s">
        <v>97</v>
      </c>
      <c r="BS127" s="3">
        <v>45932</v>
      </c>
      <c r="BT127" s="4">
        <v>0.41805555555555557</v>
      </c>
      <c r="BU127" t="s">
        <v>525</v>
      </c>
      <c r="BV127" t="s">
        <v>86</v>
      </c>
      <c r="BY127">
        <v>9576</v>
      </c>
      <c r="BZ127" t="s">
        <v>99</v>
      </c>
      <c r="CA127" t="s">
        <v>305</v>
      </c>
      <c r="CC127" t="s">
        <v>301</v>
      </c>
      <c r="CD127">
        <v>1748</v>
      </c>
      <c r="CE127" t="s">
        <v>101</v>
      </c>
      <c r="CF127" s="3">
        <v>45933</v>
      </c>
      <c r="CI127">
        <v>1</v>
      </c>
      <c r="CJ127">
        <v>1</v>
      </c>
      <c r="CK127">
        <v>34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"080068245192"</f>
        <v>080068245192</v>
      </c>
      <c r="F128" s="3">
        <v>45931</v>
      </c>
      <c r="G128">
        <v>202607</v>
      </c>
      <c r="H128" t="s">
        <v>79</v>
      </c>
      <c r="I128" t="s">
        <v>80</v>
      </c>
      <c r="J128" t="s">
        <v>91</v>
      </c>
      <c r="K128" t="s">
        <v>78</v>
      </c>
      <c r="L128" t="s">
        <v>239</v>
      </c>
      <c r="M128" t="s">
        <v>240</v>
      </c>
      <c r="N128" t="s">
        <v>526</v>
      </c>
      <c r="O128" t="s">
        <v>82</v>
      </c>
      <c r="P128" t="str">
        <f>"4170062528                    "</f>
        <v xml:space="preserve">4170062528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62.87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3</v>
      </c>
      <c r="BJ128">
        <v>1.7</v>
      </c>
      <c r="BK128">
        <v>3</v>
      </c>
      <c r="BL128">
        <v>199.55</v>
      </c>
      <c r="BM128">
        <v>29.93</v>
      </c>
      <c r="BN128">
        <v>229.48</v>
      </c>
      <c r="BO128">
        <v>229.48</v>
      </c>
      <c r="BQ128" t="s">
        <v>527</v>
      </c>
      <c r="BR128" t="s">
        <v>97</v>
      </c>
      <c r="BS128" s="3">
        <v>45932</v>
      </c>
      <c r="BT128" s="4">
        <v>0.46041666666666664</v>
      </c>
      <c r="BU128" t="s">
        <v>528</v>
      </c>
      <c r="BV128" t="s">
        <v>86</v>
      </c>
      <c r="BY128">
        <v>8593.2000000000007</v>
      </c>
      <c r="BZ128" t="s">
        <v>87</v>
      </c>
      <c r="CA128" t="s">
        <v>529</v>
      </c>
      <c r="CC128" t="s">
        <v>240</v>
      </c>
      <c r="CD128" s="5" t="s">
        <v>245</v>
      </c>
      <c r="CE128" t="s">
        <v>101</v>
      </c>
      <c r="CF128" s="3">
        <v>45933</v>
      </c>
      <c r="CI128">
        <v>1</v>
      </c>
      <c r="CJ128">
        <v>1</v>
      </c>
      <c r="CK128">
        <v>23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"080068245225"</f>
        <v>080068245225</v>
      </c>
      <c r="F129" s="3">
        <v>45931</v>
      </c>
      <c r="G129">
        <v>202607</v>
      </c>
      <c r="H129" t="s">
        <v>79</v>
      </c>
      <c r="I129" t="s">
        <v>80</v>
      </c>
      <c r="J129" t="s">
        <v>91</v>
      </c>
      <c r="K129" t="s">
        <v>78</v>
      </c>
      <c r="L129" t="s">
        <v>530</v>
      </c>
      <c r="M129" t="s">
        <v>531</v>
      </c>
      <c r="N129" t="s">
        <v>532</v>
      </c>
      <c r="O129" t="s">
        <v>82</v>
      </c>
      <c r="P129" t="str">
        <f>"4170062508                    "</f>
        <v xml:space="preserve">4170062508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43.31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2</v>
      </c>
      <c r="BJ129">
        <v>1.1000000000000001</v>
      </c>
      <c r="BK129">
        <v>2</v>
      </c>
      <c r="BL129">
        <v>137.47</v>
      </c>
      <c r="BM129">
        <v>20.62</v>
      </c>
      <c r="BN129">
        <v>158.09</v>
      </c>
      <c r="BO129">
        <v>158.09</v>
      </c>
      <c r="BQ129" t="s">
        <v>533</v>
      </c>
      <c r="BR129" t="s">
        <v>97</v>
      </c>
      <c r="BS129" s="3">
        <v>45932</v>
      </c>
      <c r="BT129" s="4">
        <v>0.40277777777777779</v>
      </c>
      <c r="BU129" t="s">
        <v>534</v>
      </c>
      <c r="BV129" t="s">
        <v>86</v>
      </c>
      <c r="BY129">
        <v>5510</v>
      </c>
      <c r="BZ129" t="s">
        <v>87</v>
      </c>
      <c r="CA129" t="s">
        <v>535</v>
      </c>
      <c r="CC129" t="s">
        <v>531</v>
      </c>
      <c r="CD129">
        <v>6850</v>
      </c>
      <c r="CE129" t="s">
        <v>101</v>
      </c>
      <c r="CF129" s="3">
        <v>45933</v>
      </c>
      <c r="CI129">
        <v>2</v>
      </c>
      <c r="CJ129">
        <v>1</v>
      </c>
      <c r="CK129">
        <v>23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"080068245275"</f>
        <v>080068245275</v>
      </c>
      <c r="F130" s="3">
        <v>45931</v>
      </c>
      <c r="G130">
        <v>202607</v>
      </c>
      <c r="H130" t="s">
        <v>79</v>
      </c>
      <c r="I130" t="s">
        <v>80</v>
      </c>
      <c r="J130" t="s">
        <v>91</v>
      </c>
      <c r="K130" t="s">
        <v>78</v>
      </c>
      <c r="L130" t="s">
        <v>265</v>
      </c>
      <c r="M130" t="s">
        <v>266</v>
      </c>
      <c r="N130" t="s">
        <v>536</v>
      </c>
      <c r="O130" t="s">
        <v>82</v>
      </c>
      <c r="P130" t="str">
        <f>"4170062498                    "</f>
        <v xml:space="preserve">4170062498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22.36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1.7</v>
      </c>
      <c r="BK130">
        <v>2</v>
      </c>
      <c r="BL130">
        <v>70.959999999999994</v>
      </c>
      <c r="BM130">
        <v>10.64</v>
      </c>
      <c r="BN130">
        <v>81.599999999999994</v>
      </c>
      <c r="BO130">
        <v>81.599999999999994</v>
      </c>
      <c r="BQ130" t="s">
        <v>537</v>
      </c>
      <c r="BR130" t="s">
        <v>97</v>
      </c>
      <c r="BS130" s="3">
        <v>45932</v>
      </c>
      <c r="BT130" s="4">
        <v>0.33333333333333331</v>
      </c>
      <c r="BU130" t="s">
        <v>538</v>
      </c>
      <c r="BV130" t="s">
        <v>86</v>
      </c>
      <c r="BY130">
        <v>8550</v>
      </c>
      <c r="BZ130" t="s">
        <v>87</v>
      </c>
      <c r="CA130" t="s">
        <v>270</v>
      </c>
      <c r="CC130" t="s">
        <v>266</v>
      </c>
      <c r="CD130">
        <v>6230</v>
      </c>
      <c r="CE130" t="s">
        <v>101</v>
      </c>
      <c r="CF130" s="3">
        <v>45932</v>
      </c>
      <c r="CI130">
        <v>1</v>
      </c>
      <c r="CJ130">
        <v>1</v>
      </c>
      <c r="CK130">
        <v>21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"080068245429"</f>
        <v>080068245429</v>
      </c>
      <c r="F131" s="3">
        <v>45931</v>
      </c>
      <c r="G131">
        <v>202607</v>
      </c>
      <c r="H131" t="s">
        <v>79</v>
      </c>
      <c r="I131" t="s">
        <v>80</v>
      </c>
      <c r="J131" t="s">
        <v>91</v>
      </c>
      <c r="K131" t="s">
        <v>78</v>
      </c>
      <c r="L131" t="s">
        <v>79</v>
      </c>
      <c r="M131" t="s">
        <v>80</v>
      </c>
      <c r="N131" t="s">
        <v>539</v>
      </c>
      <c r="O131" t="s">
        <v>82</v>
      </c>
      <c r="P131" t="str">
        <f>"4170062495                    "</f>
        <v xml:space="preserve">4170062495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17.46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55.42</v>
      </c>
      <c r="BM131">
        <v>8.31</v>
      </c>
      <c r="BN131">
        <v>63.73</v>
      </c>
      <c r="BO131">
        <v>63.73</v>
      </c>
      <c r="BQ131" t="s">
        <v>540</v>
      </c>
      <c r="BR131" t="s">
        <v>97</v>
      </c>
      <c r="BS131" s="3">
        <v>45932</v>
      </c>
      <c r="BT131" s="4">
        <v>0.36249999999999999</v>
      </c>
      <c r="BU131" t="s">
        <v>541</v>
      </c>
      <c r="BV131" t="s">
        <v>86</v>
      </c>
      <c r="BY131">
        <v>1200</v>
      </c>
      <c r="BZ131" t="s">
        <v>87</v>
      </c>
      <c r="CA131" t="s">
        <v>280</v>
      </c>
      <c r="CC131" t="s">
        <v>80</v>
      </c>
      <c r="CD131">
        <v>1614</v>
      </c>
      <c r="CE131" t="s">
        <v>120</v>
      </c>
      <c r="CF131" s="3">
        <v>45932</v>
      </c>
      <c r="CI131">
        <v>1</v>
      </c>
      <c r="CJ131">
        <v>1</v>
      </c>
      <c r="CK131">
        <v>22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"080068245450"</f>
        <v>080068245450</v>
      </c>
      <c r="F132" s="3">
        <v>45931</v>
      </c>
      <c r="G132">
        <v>202607</v>
      </c>
      <c r="H132" t="s">
        <v>79</v>
      </c>
      <c r="I132" t="s">
        <v>80</v>
      </c>
      <c r="J132" t="s">
        <v>91</v>
      </c>
      <c r="K132" t="s">
        <v>78</v>
      </c>
      <c r="L132" t="s">
        <v>542</v>
      </c>
      <c r="M132" t="s">
        <v>543</v>
      </c>
      <c r="N132" t="s">
        <v>544</v>
      </c>
      <c r="O132" t="s">
        <v>82</v>
      </c>
      <c r="P132" t="str">
        <f>"4170062492                    "</f>
        <v xml:space="preserve">4170062492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17.46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55.42</v>
      </c>
      <c r="BM132">
        <v>8.31</v>
      </c>
      <c r="BN132">
        <v>63.73</v>
      </c>
      <c r="BO132">
        <v>63.73</v>
      </c>
      <c r="BQ132" t="s">
        <v>545</v>
      </c>
      <c r="BR132" t="s">
        <v>97</v>
      </c>
      <c r="BS132" s="3">
        <v>45932</v>
      </c>
      <c r="BT132" s="4">
        <v>0.37708333333333333</v>
      </c>
      <c r="BU132" t="s">
        <v>546</v>
      </c>
      <c r="BV132" t="s">
        <v>86</v>
      </c>
      <c r="BY132">
        <v>1200</v>
      </c>
      <c r="BZ132" t="s">
        <v>87</v>
      </c>
      <c r="CA132" t="s">
        <v>547</v>
      </c>
      <c r="CC132" t="s">
        <v>543</v>
      </c>
      <c r="CD132">
        <v>1684</v>
      </c>
      <c r="CE132" t="s">
        <v>120</v>
      </c>
      <c r="CF132" s="3">
        <v>45933</v>
      </c>
      <c r="CI132">
        <v>1</v>
      </c>
      <c r="CJ132">
        <v>1</v>
      </c>
      <c r="CK132">
        <v>22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"080068245484"</f>
        <v>080068245484</v>
      </c>
      <c r="F133" s="3">
        <v>45931</v>
      </c>
      <c r="G133">
        <v>202607</v>
      </c>
      <c r="H133" t="s">
        <v>79</v>
      </c>
      <c r="I133" t="s">
        <v>80</v>
      </c>
      <c r="J133" t="s">
        <v>91</v>
      </c>
      <c r="K133" t="s">
        <v>78</v>
      </c>
      <c r="L133" t="s">
        <v>108</v>
      </c>
      <c r="M133" t="s">
        <v>109</v>
      </c>
      <c r="N133" t="s">
        <v>548</v>
      </c>
      <c r="O133" t="s">
        <v>82</v>
      </c>
      <c r="P133" t="str">
        <f>"4170062489                    "</f>
        <v xml:space="preserve">4170062489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22.36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70.959999999999994</v>
      </c>
      <c r="BM133">
        <v>10.64</v>
      </c>
      <c r="BN133">
        <v>81.599999999999994</v>
      </c>
      <c r="BO133">
        <v>81.599999999999994</v>
      </c>
      <c r="BQ133" t="s">
        <v>549</v>
      </c>
      <c r="BR133" t="s">
        <v>97</v>
      </c>
      <c r="BS133" s="3">
        <v>45932</v>
      </c>
      <c r="BT133" s="4">
        <v>0.36875000000000002</v>
      </c>
      <c r="BU133" t="s">
        <v>550</v>
      </c>
      <c r="BV133" t="s">
        <v>86</v>
      </c>
      <c r="BY133">
        <v>1200</v>
      </c>
      <c r="BZ133" t="s">
        <v>87</v>
      </c>
      <c r="CA133" t="s">
        <v>551</v>
      </c>
      <c r="CC133" t="s">
        <v>109</v>
      </c>
      <c r="CD133">
        <v>6001</v>
      </c>
      <c r="CE133" t="s">
        <v>120</v>
      </c>
      <c r="CF133" s="3">
        <v>45932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"080068245522"</f>
        <v>080068245522</v>
      </c>
      <c r="F134" s="3">
        <v>45931</v>
      </c>
      <c r="G134">
        <v>202607</v>
      </c>
      <c r="H134" t="s">
        <v>79</v>
      </c>
      <c r="I134" t="s">
        <v>80</v>
      </c>
      <c r="J134" t="s">
        <v>91</v>
      </c>
      <c r="K134" t="s">
        <v>78</v>
      </c>
      <c r="L134" t="s">
        <v>306</v>
      </c>
      <c r="M134" t="s">
        <v>307</v>
      </c>
      <c r="N134" t="s">
        <v>552</v>
      </c>
      <c r="O134" t="s">
        <v>82</v>
      </c>
      <c r="P134" t="str">
        <f>"4170062488                    "</f>
        <v xml:space="preserve">4170062488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22.36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70.959999999999994</v>
      </c>
      <c r="BM134">
        <v>10.64</v>
      </c>
      <c r="BN134">
        <v>81.599999999999994</v>
      </c>
      <c r="BO134">
        <v>81.599999999999994</v>
      </c>
      <c r="BQ134" t="s">
        <v>553</v>
      </c>
      <c r="BR134" t="s">
        <v>97</v>
      </c>
      <c r="BS134" s="3">
        <v>45936</v>
      </c>
      <c r="BT134" s="4">
        <v>0.73124999999999996</v>
      </c>
      <c r="BU134" t="s">
        <v>554</v>
      </c>
      <c r="BV134" t="s">
        <v>90</v>
      </c>
      <c r="BY134">
        <v>1200</v>
      </c>
      <c r="BZ134" t="s">
        <v>87</v>
      </c>
      <c r="CA134" t="s">
        <v>555</v>
      </c>
      <c r="CC134" t="s">
        <v>307</v>
      </c>
      <c r="CD134">
        <v>4100</v>
      </c>
      <c r="CE134" t="s">
        <v>120</v>
      </c>
      <c r="CF134" s="3">
        <v>45937</v>
      </c>
      <c r="CI134">
        <v>1</v>
      </c>
      <c r="CJ134">
        <v>3</v>
      </c>
      <c r="CK134">
        <v>21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"080068245552"</f>
        <v>080068245552</v>
      </c>
      <c r="F135" s="3">
        <v>45931</v>
      </c>
      <c r="G135">
        <v>202607</v>
      </c>
      <c r="H135" t="s">
        <v>79</v>
      </c>
      <c r="I135" t="s">
        <v>80</v>
      </c>
      <c r="J135" t="s">
        <v>91</v>
      </c>
      <c r="K135" t="s">
        <v>78</v>
      </c>
      <c r="L135" t="s">
        <v>108</v>
      </c>
      <c r="M135" t="s">
        <v>109</v>
      </c>
      <c r="N135" t="s">
        <v>556</v>
      </c>
      <c r="O135" t="s">
        <v>82</v>
      </c>
      <c r="P135" t="str">
        <f>"4170062502                    "</f>
        <v xml:space="preserve">4170062502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22.36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70.959999999999994</v>
      </c>
      <c r="BM135">
        <v>10.64</v>
      </c>
      <c r="BN135">
        <v>81.599999999999994</v>
      </c>
      <c r="BO135">
        <v>81.599999999999994</v>
      </c>
      <c r="BQ135" t="s">
        <v>557</v>
      </c>
      <c r="BR135" t="s">
        <v>97</v>
      </c>
      <c r="BS135" s="3">
        <v>45932</v>
      </c>
      <c r="BT135" s="4">
        <v>0.41666666666666669</v>
      </c>
      <c r="BU135" t="s">
        <v>558</v>
      </c>
      <c r="BV135" t="s">
        <v>86</v>
      </c>
      <c r="BY135">
        <v>1200</v>
      </c>
      <c r="BZ135" t="s">
        <v>87</v>
      </c>
      <c r="CA135" t="s">
        <v>559</v>
      </c>
      <c r="CC135" t="s">
        <v>109</v>
      </c>
      <c r="CD135">
        <v>6001</v>
      </c>
      <c r="CE135" t="s">
        <v>162</v>
      </c>
      <c r="CF135" s="3">
        <v>45932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"080068245580"</f>
        <v>080068245580</v>
      </c>
      <c r="F136" s="3">
        <v>45931</v>
      </c>
      <c r="G136">
        <v>202607</v>
      </c>
      <c r="H136" t="s">
        <v>79</v>
      </c>
      <c r="I136" t="s">
        <v>80</v>
      </c>
      <c r="J136" t="s">
        <v>91</v>
      </c>
      <c r="K136" t="s">
        <v>78</v>
      </c>
      <c r="L136" t="s">
        <v>108</v>
      </c>
      <c r="M136" t="s">
        <v>109</v>
      </c>
      <c r="N136" t="s">
        <v>312</v>
      </c>
      <c r="O136" t="s">
        <v>82</v>
      </c>
      <c r="P136" t="str">
        <f>"4170062511                    "</f>
        <v xml:space="preserve">4170062511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22.36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70.959999999999994</v>
      </c>
      <c r="BM136">
        <v>10.64</v>
      </c>
      <c r="BN136">
        <v>81.599999999999994</v>
      </c>
      <c r="BO136">
        <v>81.599999999999994</v>
      </c>
      <c r="BQ136" t="s">
        <v>313</v>
      </c>
      <c r="BR136" t="s">
        <v>97</v>
      </c>
      <c r="BS136" s="3">
        <v>45932</v>
      </c>
      <c r="BT136" s="4">
        <v>0.40972222222222221</v>
      </c>
      <c r="BU136" t="s">
        <v>314</v>
      </c>
      <c r="BV136" t="s">
        <v>86</v>
      </c>
      <c r="BY136">
        <v>1200</v>
      </c>
      <c r="BZ136" t="s">
        <v>87</v>
      </c>
      <c r="CA136" t="s">
        <v>113</v>
      </c>
      <c r="CC136" t="s">
        <v>109</v>
      </c>
      <c r="CD136">
        <v>6001</v>
      </c>
      <c r="CE136" t="s">
        <v>120</v>
      </c>
      <c r="CF136" s="3">
        <v>45932</v>
      </c>
      <c r="CI136">
        <v>1</v>
      </c>
      <c r="CJ136">
        <v>1</v>
      </c>
      <c r="CK136">
        <v>21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"080068246208"</f>
        <v>080068246208</v>
      </c>
      <c r="F137" s="3">
        <v>45931</v>
      </c>
      <c r="G137">
        <v>202607</v>
      </c>
      <c r="H137" t="s">
        <v>79</v>
      </c>
      <c r="I137" t="s">
        <v>80</v>
      </c>
      <c r="J137" t="s">
        <v>91</v>
      </c>
      <c r="K137" t="s">
        <v>78</v>
      </c>
      <c r="L137" t="s">
        <v>102</v>
      </c>
      <c r="M137" t="s">
        <v>103</v>
      </c>
      <c r="N137" t="s">
        <v>560</v>
      </c>
      <c r="O137" t="s">
        <v>82</v>
      </c>
      <c r="P137" t="str">
        <f>"4170062486                    "</f>
        <v xml:space="preserve">4170062486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17.46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55.42</v>
      </c>
      <c r="BM137">
        <v>8.31</v>
      </c>
      <c r="BN137">
        <v>63.73</v>
      </c>
      <c r="BO137">
        <v>63.73</v>
      </c>
      <c r="BQ137" t="s">
        <v>561</v>
      </c>
      <c r="BR137" t="s">
        <v>97</v>
      </c>
      <c r="BS137" s="3">
        <v>45932</v>
      </c>
      <c r="BT137" s="4">
        <v>0.37986111111111109</v>
      </c>
      <c r="BU137" t="s">
        <v>562</v>
      </c>
      <c r="BV137" t="s">
        <v>86</v>
      </c>
      <c r="BY137">
        <v>1200</v>
      </c>
      <c r="BZ137" t="s">
        <v>87</v>
      </c>
      <c r="CC137" t="s">
        <v>103</v>
      </c>
      <c r="CD137">
        <v>1451</v>
      </c>
      <c r="CE137" t="s">
        <v>120</v>
      </c>
      <c r="CF137" s="3">
        <v>45933</v>
      </c>
      <c r="CI137">
        <v>1</v>
      </c>
      <c r="CJ137">
        <v>1</v>
      </c>
      <c r="CK137">
        <v>22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"080068246255"</f>
        <v>080068246255</v>
      </c>
      <c r="F138" s="3">
        <v>45931</v>
      </c>
      <c r="G138">
        <v>202607</v>
      </c>
      <c r="H138" t="s">
        <v>79</v>
      </c>
      <c r="I138" t="s">
        <v>80</v>
      </c>
      <c r="J138" t="s">
        <v>91</v>
      </c>
      <c r="K138" t="s">
        <v>78</v>
      </c>
      <c r="L138" t="s">
        <v>453</v>
      </c>
      <c r="M138" t="s">
        <v>454</v>
      </c>
      <c r="N138" t="s">
        <v>563</v>
      </c>
      <c r="O138" t="s">
        <v>82</v>
      </c>
      <c r="P138" t="str">
        <f>"4170062485                    "</f>
        <v xml:space="preserve">4170062485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22.36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70.959999999999994</v>
      </c>
      <c r="BM138">
        <v>10.64</v>
      </c>
      <c r="BN138">
        <v>81.599999999999994</v>
      </c>
      <c r="BO138">
        <v>81.599999999999994</v>
      </c>
      <c r="BQ138" t="s">
        <v>564</v>
      </c>
      <c r="BR138" t="s">
        <v>97</v>
      </c>
      <c r="BS138" s="3">
        <v>45932</v>
      </c>
      <c r="BT138" s="4">
        <v>0.55763888888888891</v>
      </c>
      <c r="BU138" t="s">
        <v>565</v>
      </c>
      <c r="BV138" t="s">
        <v>90</v>
      </c>
      <c r="BW138" t="s">
        <v>136</v>
      </c>
      <c r="BX138" t="s">
        <v>137</v>
      </c>
      <c r="BY138">
        <v>1200</v>
      </c>
      <c r="BZ138" t="s">
        <v>87</v>
      </c>
      <c r="CA138" t="s">
        <v>138</v>
      </c>
      <c r="CC138" t="s">
        <v>454</v>
      </c>
      <c r="CD138">
        <v>3610</v>
      </c>
      <c r="CE138" t="s">
        <v>120</v>
      </c>
      <c r="CF138" s="3">
        <v>45933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"080068246264"</f>
        <v>080068246264</v>
      </c>
      <c r="F139" s="3">
        <v>45931</v>
      </c>
      <c r="G139">
        <v>202607</v>
      </c>
      <c r="H139" t="s">
        <v>79</v>
      </c>
      <c r="I139" t="s">
        <v>80</v>
      </c>
      <c r="J139" t="s">
        <v>91</v>
      </c>
      <c r="K139" t="s">
        <v>78</v>
      </c>
      <c r="L139" t="s">
        <v>206</v>
      </c>
      <c r="M139" t="s">
        <v>207</v>
      </c>
      <c r="N139" t="s">
        <v>566</v>
      </c>
      <c r="O139" t="s">
        <v>82</v>
      </c>
      <c r="P139" t="str">
        <f>"4170062510                    "</f>
        <v xml:space="preserve">4170062510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22.36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70.959999999999994</v>
      </c>
      <c r="BM139">
        <v>10.64</v>
      </c>
      <c r="BN139">
        <v>81.599999999999994</v>
      </c>
      <c r="BO139">
        <v>81.599999999999994</v>
      </c>
      <c r="BQ139" t="s">
        <v>567</v>
      </c>
      <c r="BR139" t="s">
        <v>97</v>
      </c>
      <c r="BS139" s="3">
        <v>45932</v>
      </c>
      <c r="BT139" s="4">
        <v>0.38263888888888886</v>
      </c>
      <c r="BU139" t="s">
        <v>568</v>
      </c>
      <c r="BV139" t="s">
        <v>86</v>
      </c>
      <c r="BY139">
        <v>1200</v>
      </c>
      <c r="BZ139" t="s">
        <v>87</v>
      </c>
      <c r="CA139" t="s">
        <v>569</v>
      </c>
      <c r="CC139" t="s">
        <v>207</v>
      </c>
      <c r="CD139">
        <v>7945</v>
      </c>
      <c r="CE139" t="s">
        <v>120</v>
      </c>
      <c r="CF139" s="3">
        <v>45933</v>
      </c>
      <c r="CI139">
        <v>1</v>
      </c>
      <c r="CJ139">
        <v>1</v>
      </c>
      <c r="CK139">
        <v>21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"080068246279"</f>
        <v>080068246279</v>
      </c>
      <c r="F140" s="3">
        <v>45931</v>
      </c>
      <c r="G140">
        <v>202607</v>
      </c>
      <c r="H140" t="s">
        <v>79</v>
      </c>
      <c r="I140" t="s">
        <v>80</v>
      </c>
      <c r="J140" t="s">
        <v>91</v>
      </c>
      <c r="K140" t="s">
        <v>78</v>
      </c>
      <c r="L140" t="s">
        <v>206</v>
      </c>
      <c r="M140" t="s">
        <v>207</v>
      </c>
      <c r="N140" t="s">
        <v>412</v>
      </c>
      <c r="O140" t="s">
        <v>82</v>
      </c>
      <c r="P140" t="str">
        <f>"4170062552                    "</f>
        <v xml:space="preserve">4170062552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22.36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70.959999999999994</v>
      </c>
      <c r="BM140">
        <v>10.64</v>
      </c>
      <c r="BN140">
        <v>81.599999999999994</v>
      </c>
      <c r="BO140">
        <v>81.599999999999994</v>
      </c>
      <c r="BQ140" t="s">
        <v>413</v>
      </c>
      <c r="BR140" t="s">
        <v>97</v>
      </c>
      <c r="BS140" s="3">
        <v>45932</v>
      </c>
      <c r="BT140" s="4">
        <v>0.37569444444444444</v>
      </c>
      <c r="BU140" t="s">
        <v>414</v>
      </c>
      <c r="BV140" t="s">
        <v>86</v>
      </c>
      <c r="BY140">
        <v>1200</v>
      </c>
      <c r="BZ140" t="s">
        <v>87</v>
      </c>
      <c r="CA140" t="s">
        <v>415</v>
      </c>
      <c r="CC140" t="s">
        <v>207</v>
      </c>
      <c r="CD140">
        <v>7493</v>
      </c>
      <c r="CE140" t="s">
        <v>120</v>
      </c>
      <c r="CF140" s="3">
        <v>45933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"080068246298"</f>
        <v>080068246298</v>
      </c>
      <c r="F141" s="3">
        <v>45931</v>
      </c>
      <c r="G141">
        <v>202607</v>
      </c>
      <c r="H141" t="s">
        <v>79</v>
      </c>
      <c r="I141" t="s">
        <v>80</v>
      </c>
      <c r="J141" t="s">
        <v>91</v>
      </c>
      <c r="K141" t="s">
        <v>78</v>
      </c>
      <c r="L141" t="s">
        <v>223</v>
      </c>
      <c r="M141" t="s">
        <v>224</v>
      </c>
      <c r="N141" t="s">
        <v>570</v>
      </c>
      <c r="O141" t="s">
        <v>82</v>
      </c>
      <c r="P141" t="str">
        <f>"4170062499                    "</f>
        <v xml:space="preserve">4170062499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17.46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3</v>
      </c>
      <c r="BJ141">
        <v>1.7</v>
      </c>
      <c r="BK141">
        <v>3</v>
      </c>
      <c r="BL141">
        <v>55.42</v>
      </c>
      <c r="BM141">
        <v>8.31</v>
      </c>
      <c r="BN141">
        <v>63.73</v>
      </c>
      <c r="BO141">
        <v>63.73</v>
      </c>
      <c r="BQ141" t="s">
        <v>571</v>
      </c>
      <c r="BR141" t="s">
        <v>97</v>
      </c>
      <c r="BS141" s="3">
        <v>45932</v>
      </c>
      <c r="BT141" s="4">
        <v>0.73124999999999996</v>
      </c>
      <c r="BU141" t="s">
        <v>572</v>
      </c>
      <c r="BV141" t="s">
        <v>90</v>
      </c>
      <c r="BY141">
        <v>8512</v>
      </c>
      <c r="BZ141" t="s">
        <v>87</v>
      </c>
      <c r="CA141" t="s">
        <v>573</v>
      </c>
      <c r="CC141" t="s">
        <v>224</v>
      </c>
      <c r="CD141">
        <v>1459</v>
      </c>
      <c r="CE141" t="s">
        <v>101</v>
      </c>
      <c r="CF141" s="3">
        <v>45933</v>
      </c>
      <c r="CI141">
        <v>1</v>
      </c>
      <c r="CJ141">
        <v>1</v>
      </c>
      <c r="CK141">
        <v>22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"080068246301"</f>
        <v>080068246301</v>
      </c>
      <c r="F142" s="3">
        <v>45931</v>
      </c>
      <c r="G142">
        <v>202607</v>
      </c>
      <c r="H142" t="s">
        <v>79</v>
      </c>
      <c r="I142" t="s">
        <v>80</v>
      </c>
      <c r="J142" t="s">
        <v>91</v>
      </c>
      <c r="K142" t="s">
        <v>78</v>
      </c>
      <c r="L142" t="s">
        <v>206</v>
      </c>
      <c r="M142" t="s">
        <v>207</v>
      </c>
      <c r="N142" t="s">
        <v>427</v>
      </c>
      <c r="O142" t="s">
        <v>82</v>
      </c>
      <c r="P142" t="str">
        <f>"4170062553                    "</f>
        <v xml:space="preserve">4170062553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22.36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70.959999999999994</v>
      </c>
      <c r="BM142">
        <v>10.64</v>
      </c>
      <c r="BN142">
        <v>81.599999999999994</v>
      </c>
      <c r="BO142">
        <v>81.599999999999994</v>
      </c>
      <c r="BQ142" t="s">
        <v>428</v>
      </c>
      <c r="BR142" t="s">
        <v>97</v>
      </c>
      <c r="BS142" s="3">
        <v>45932</v>
      </c>
      <c r="BT142" s="4">
        <v>0.32847222222222222</v>
      </c>
      <c r="BU142" t="s">
        <v>429</v>
      </c>
      <c r="BV142" t="s">
        <v>86</v>
      </c>
      <c r="BY142">
        <v>1200</v>
      </c>
      <c r="BZ142" t="s">
        <v>87</v>
      </c>
      <c r="CA142" t="s">
        <v>423</v>
      </c>
      <c r="CC142" t="s">
        <v>207</v>
      </c>
      <c r="CD142">
        <v>7530</v>
      </c>
      <c r="CE142" t="s">
        <v>120</v>
      </c>
      <c r="CF142" s="3">
        <v>45933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"080068246326"</f>
        <v>080068246326</v>
      </c>
      <c r="F143" s="3">
        <v>45931</v>
      </c>
      <c r="G143">
        <v>202607</v>
      </c>
      <c r="H143" t="s">
        <v>79</v>
      </c>
      <c r="I143" t="s">
        <v>80</v>
      </c>
      <c r="J143" t="s">
        <v>91</v>
      </c>
      <c r="K143" t="s">
        <v>78</v>
      </c>
      <c r="L143" t="s">
        <v>121</v>
      </c>
      <c r="M143" t="s">
        <v>122</v>
      </c>
      <c r="N143" t="s">
        <v>574</v>
      </c>
      <c r="O143" t="s">
        <v>82</v>
      </c>
      <c r="P143" t="str">
        <f>"4170062484                    "</f>
        <v xml:space="preserve">4170062484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22.36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70.959999999999994</v>
      </c>
      <c r="BM143">
        <v>10.64</v>
      </c>
      <c r="BN143">
        <v>81.599999999999994</v>
      </c>
      <c r="BO143">
        <v>81.599999999999994</v>
      </c>
      <c r="BQ143" t="s">
        <v>575</v>
      </c>
      <c r="BR143" t="s">
        <v>97</v>
      </c>
      <c r="BS143" s="3">
        <v>45932</v>
      </c>
      <c r="BT143" s="4">
        <v>0.39652777777777776</v>
      </c>
      <c r="BU143" t="s">
        <v>576</v>
      </c>
      <c r="BV143" t="s">
        <v>86</v>
      </c>
      <c r="BY143">
        <v>1200</v>
      </c>
      <c r="BZ143" t="s">
        <v>87</v>
      </c>
      <c r="CA143" t="s">
        <v>331</v>
      </c>
      <c r="CC143" t="s">
        <v>122</v>
      </c>
      <c r="CD143">
        <v>4094</v>
      </c>
      <c r="CE143" t="s">
        <v>120</v>
      </c>
      <c r="CF143" s="3">
        <v>45932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"080068246330"</f>
        <v>080068246330</v>
      </c>
      <c r="F144" s="3">
        <v>45931</v>
      </c>
      <c r="G144">
        <v>202607</v>
      </c>
      <c r="H144" t="s">
        <v>79</v>
      </c>
      <c r="I144" t="s">
        <v>80</v>
      </c>
      <c r="J144" t="s">
        <v>91</v>
      </c>
      <c r="K144" t="s">
        <v>78</v>
      </c>
      <c r="L144" t="s">
        <v>79</v>
      </c>
      <c r="M144" t="s">
        <v>80</v>
      </c>
      <c r="N144" t="s">
        <v>577</v>
      </c>
      <c r="O144" t="s">
        <v>226</v>
      </c>
      <c r="P144" t="str">
        <f>"4170062555                    "</f>
        <v xml:space="preserve">4170062555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17.47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8</v>
      </c>
      <c r="BJ144">
        <v>3.4</v>
      </c>
      <c r="BK144">
        <v>8</v>
      </c>
      <c r="BL144">
        <v>55.44</v>
      </c>
      <c r="BM144">
        <v>8.32</v>
      </c>
      <c r="BN144">
        <v>63.76</v>
      </c>
      <c r="BO144">
        <v>63.76</v>
      </c>
      <c r="BQ144" t="s">
        <v>578</v>
      </c>
      <c r="BR144" t="s">
        <v>97</v>
      </c>
      <c r="BS144" s="3">
        <v>45932</v>
      </c>
      <c r="BT144" s="4">
        <v>0.36736111111111114</v>
      </c>
      <c r="BU144" t="s">
        <v>579</v>
      </c>
      <c r="BV144" t="s">
        <v>86</v>
      </c>
      <c r="BY144">
        <v>16856</v>
      </c>
      <c r="BZ144" t="s">
        <v>99</v>
      </c>
      <c r="CA144" t="s">
        <v>580</v>
      </c>
      <c r="CC144" t="s">
        <v>80</v>
      </c>
      <c r="CD144">
        <v>1619</v>
      </c>
      <c r="CE144" t="s">
        <v>107</v>
      </c>
      <c r="CF144" s="3">
        <v>45932</v>
      </c>
      <c r="CI144">
        <v>1</v>
      </c>
      <c r="CJ144">
        <v>1</v>
      </c>
      <c r="CK144">
        <v>32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"080068246352"</f>
        <v>080068246352</v>
      </c>
      <c r="F145" s="3">
        <v>45931</v>
      </c>
      <c r="G145">
        <v>202607</v>
      </c>
      <c r="H145" t="s">
        <v>79</v>
      </c>
      <c r="I145" t="s">
        <v>80</v>
      </c>
      <c r="J145" t="s">
        <v>91</v>
      </c>
      <c r="K145" t="s">
        <v>78</v>
      </c>
      <c r="L145" t="s">
        <v>453</v>
      </c>
      <c r="M145" t="s">
        <v>454</v>
      </c>
      <c r="N145" t="s">
        <v>581</v>
      </c>
      <c r="O145" t="s">
        <v>82</v>
      </c>
      <c r="P145" t="str">
        <f>"4170062493                    "</f>
        <v xml:space="preserve">4170062493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39.11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3.4</v>
      </c>
      <c r="BK145">
        <v>3.5</v>
      </c>
      <c r="BL145">
        <v>124.13</v>
      </c>
      <c r="BM145">
        <v>18.62</v>
      </c>
      <c r="BN145">
        <v>142.75</v>
      </c>
      <c r="BO145">
        <v>142.75</v>
      </c>
      <c r="BQ145" t="s">
        <v>582</v>
      </c>
      <c r="BR145" t="s">
        <v>97</v>
      </c>
      <c r="BS145" s="3">
        <v>45932</v>
      </c>
      <c r="BT145" s="4">
        <v>0.50972222222222219</v>
      </c>
      <c r="BU145" t="s">
        <v>583</v>
      </c>
      <c r="BV145" t="s">
        <v>86</v>
      </c>
      <c r="BY145">
        <v>16965</v>
      </c>
      <c r="BZ145" t="s">
        <v>87</v>
      </c>
      <c r="CA145" t="s">
        <v>138</v>
      </c>
      <c r="CC145" t="s">
        <v>454</v>
      </c>
      <c r="CD145">
        <v>3610</v>
      </c>
      <c r="CE145" t="s">
        <v>101</v>
      </c>
      <c r="CF145" s="3">
        <v>45933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"080068246383"</f>
        <v>080068246383</v>
      </c>
      <c r="F146" s="3">
        <v>45931</v>
      </c>
      <c r="G146">
        <v>202607</v>
      </c>
      <c r="H146" t="s">
        <v>79</v>
      </c>
      <c r="I146" t="s">
        <v>80</v>
      </c>
      <c r="J146" t="s">
        <v>91</v>
      </c>
      <c r="K146" t="s">
        <v>78</v>
      </c>
      <c r="L146" t="s">
        <v>168</v>
      </c>
      <c r="M146" t="s">
        <v>169</v>
      </c>
      <c r="N146" t="s">
        <v>584</v>
      </c>
      <c r="O146" t="s">
        <v>95</v>
      </c>
      <c r="P146" t="str">
        <f>"4170062480                    "</f>
        <v xml:space="preserve">4170062480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43.23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3</v>
      </c>
      <c r="BJ146">
        <v>4.8</v>
      </c>
      <c r="BK146">
        <v>5</v>
      </c>
      <c r="BL146">
        <v>143.08000000000001</v>
      </c>
      <c r="BM146">
        <v>21.46</v>
      </c>
      <c r="BN146">
        <v>164.54</v>
      </c>
      <c r="BO146">
        <v>164.54</v>
      </c>
      <c r="BQ146" t="s">
        <v>585</v>
      </c>
      <c r="BR146" t="s">
        <v>97</v>
      </c>
      <c r="BS146" s="3">
        <v>45932</v>
      </c>
      <c r="BT146" s="4">
        <v>0.70833333333333337</v>
      </c>
      <c r="BU146" t="s">
        <v>586</v>
      </c>
      <c r="BV146" t="s">
        <v>86</v>
      </c>
      <c r="BY146">
        <v>23751</v>
      </c>
      <c r="BZ146" t="s">
        <v>99</v>
      </c>
      <c r="CA146" t="s">
        <v>146</v>
      </c>
      <c r="CC146" t="s">
        <v>169</v>
      </c>
      <c r="CD146" s="5" t="s">
        <v>190</v>
      </c>
      <c r="CE146" t="s">
        <v>101</v>
      </c>
      <c r="CF146" s="3">
        <v>45932</v>
      </c>
      <c r="CI146">
        <v>1</v>
      </c>
      <c r="CJ146">
        <v>1</v>
      </c>
      <c r="CK146">
        <v>41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"080068246421"</f>
        <v>080068246421</v>
      </c>
      <c r="F147" s="3">
        <v>45931</v>
      </c>
      <c r="G147">
        <v>202607</v>
      </c>
      <c r="H147" t="s">
        <v>79</v>
      </c>
      <c r="I147" t="s">
        <v>80</v>
      </c>
      <c r="J147" t="s">
        <v>91</v>
      </c>
      <c r="K147" t="s">
        <v>78</v>
      </c>
      <c r="L147" t="s">
        <v>265</v>
      </c>
      <c r="M147" t="s">
        <v>266</v>
      </c>
      <c r="N147" t="s">
        <v>587</v>
      </c>
      <c r="O147" t="s">
        <v>82</v>
      </c>
      <c r="P147" t="str">
        <f>"4170062470                    "</f>
        <v xml:space="preserve">4170062470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67.03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6</v>
      </c>
      <c r="BJ147">
        <v>4.3</v>
      </c>
      <c r="BK147">
        <v>6</v>
      </c>
      <c r="BL147">
        <v>212.75</v>
      </c>
      <c r="BM147">
        <v>31.91</v>
      </c>
      <c r="BN147">
        <v>244.66</v>
      </c>
      <c r="BO147">
        <v>244.66</v>
      </c>
      <c r="BQ147" t="s">
        <v>588</v>
      </c>
      <c r="BR147" t="s">
        <v>97</v>
      </c>
      <c r="BS147" s="3">
        <v>45932</v>
      </c>
      <c r="BT147" s="4">
        <v>0.36458333333333331</v>
      </c>
      <c r="BU147" t="s">
        <v>589</v>
      </c>
      <c r="BV147" t="s">
        <v>86</v>
      </c>
      <c r="BY147">
        <v>21489</v>
      </c>
      <c r="BZ147" t="s">
        <v>87</v>
      </c>
      <c r="CA147" t="s">
        <v>270</v>
      </c>
      <c r="CC147" t="s">
        <v>266</v>
      </c>
      <c r="CD147">
        <v>6229</v>
      </c>
      <c r="CE147" t="s">
        <v>101</v>
      </c>
      <c r="CF147" s="3">
        <v>45932</v>
      </c>
      <c r="CI147">
        <v>1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"080068246448"</f>
        <v>080068246448</v>
      </c>
      <c r="F148" s="3">
        <v>45931</v>
      </c>
      <c r="G148">
        <v>202607</v>
      </c>
      <c r="H148" t="s">
        <v>79</v>
      </c>
      <c r="I148" t="s">
        <v>80</v>
      </c>
      <c r="J148" t="s">
        <v>91</v>
      </c>
      <c r="K148" t="s">
        <v>78</v>
      </c>
      <c r="L148" t="s">
        <v>148</v>
      </c>
      <c r="M148" t="s">
        <v>149</v>
      </c>
      <c r="N148" t="s">
        <v>465</v>
      </c>
      <c r="O148" t="s">
        <v>82</v>
      </c>
      <c r="P148" t="str">
        <f>"4170062512                    "</f>
        <v xml:space="preserve">4170062512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17.46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1.9</v>
      </c>
      <c r="BK148">
        <v>2</v>
      </c>
      <c r="BL148">
        <v>55.42</v>
      </c>
      <c r="BM148">
        <v>8.31</v>
      </c>
      <c r="BN148">
        <v>63.73</v>
      </c>
      <c r="BO148">
        <v>63.73</v>
      </c>
      <c r="BQ148" t="s">
        <v>466</v>
      </c>
      <c r="BR148" t="s">
        <v>97</v>
      </c>
      <c r="BS148" s="3">
        <v>45932</v>
      </c>
      <c r="BT148" s="4">
        <v>0.42916666666666664</v>
      </c>
      <c r="BU148" t="s">
        <v>518</v>
      </c>
      <c r="BV148" t="s">
        <v>86</v>
      </c>
      <c r="BY148">
        <v>9600</v>
      </c>
      <c r="BZ148" t="s">
        <v>87</v>
      </c>
      <c r="CA148" t="s">
        <v>519</v>
      </c>
      <c r="CC148" t="s">
        <v>149</v>
      </c>
      <c r="CD148">
        <v>2094</v>
      </c>
      <c r="CE148" t="s">
        <v>101</v>
      </c>
      <c r="CF148" s="3">
        <v>45932</v>
      </c>
      <c r="CI148">
        <v>1</v>
      </c>
      <c r="CJ148">
        <v>1</v>
      </c>
      <c r="CK148">
        <v>22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"080068246487"</f>
        <v>080068246487</v>
      </c>
      <c r="F149" s="3">
        <v>45931</v>
      </c>
      <c r="G149">
        <v>202607</v>
      </c>
      <c r="H149" t="s">
        <v>79</v>
      </c>
      <c r="I149" t="s">
        <v>80</v>
      </c>
      <c r="J149" t="s">
        <v>91</v>
      </c>
      <c r="K149" t="s">
        <v>78</v>
      </c>
      <c r="L149" t="s">
        <v>206</v>
      </c>
      <c r="M149" t="s">
        <v>207</v>
      </c>
      <c r="N149" t="s">
        <v>208</v>
      </c>
      <c r="O149" t="s">
        <v>82</v>
      </c>
      <c r="P149" t="str">
        <f>"4170062561                    "</f>
        <v xml:space="preserve">4170062561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22.36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0.6</v>
      </c>
      <c r="BK149">
        <v>1</v>
      </c>
      <c r="BL149">
        <v>70.959999999999994</v>
      </c>
      <c r="BM149">
        <v>10.64</v>
      </c>
      <c r="BN149">
        <v>81.599999999999994</v>
      </c>
      <c r="BO149">
        <v>81.599999999999994</v>
      </c>
      <c r="BQ149" t="s">
        <v>209</v>
      </c>
      <c r="BR149" t="s">
        <v>97</v>
      </c>
      <c r="BS149" s="3">
        <v>45932</v>
      </c>
      <c r="BT149" s="4">
        <v>0.38194444444444442</v>
      </c>
      <c r="BU149" t="s">
        <v>210</v>
      </c>
      <c r="BV149" t="s">
        <v>86</v>
      </c>
      <c r="BY149">
        <v>3192</v>
      </c>
      <c r="BZ149" t="s">
        <v>87</v>
      </c>
      <c r="CA149" t="s">
        <v>211</v>
      </c>
      <c r="CC149" t="s">
        <v>207</v>
      </c>
      <c r="CD149">
        <v>7441</v>
      </c>
      <c r="CE149" t="s">
        <v>101</v>
      </c>
      <c r="CF149" s="3">
        <v>45933</v>
      </c>
      <c r="CI149">
        <v>1</v>
      </c>
      <c r="CJ149">
        <v>1</v>
      </c>
      <c r="CK149">
        <v>21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"080068246526"</f>
        <v>080068246526</v>
      </c>
      <c r="F150" s="3">
        <v>45931</v>
      </c>
      <c r="G150">
        <v>202607</v>
      </c>
      <c r="H150" t="s">
        <v>79</v>
      </c>
      <c r="I150" t="s">
        <v>80</v>
      </c>
      <c r="J150" t="s">
        <v>91</v>
      </c>
      <c r="K150" t="s">
        <v>78</v>
      </c>
      <c r="L150" t="s">
        <v>530</v>
      </c>
      <c r="M150" t="s">
        <v>531</v>
      </c>
      <c r="N150" t="s">
        <v>532</v>
      </c>
      <c r="O150" t="s">
        <v>82</v>
      </c>
      <c r="P150" t="str">
        <f>"4170062425                    "</f>
        <v xml:space="preserve">4170062425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62.87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2</v>
      </c>
      <c r="BJ150">
        <v>2.6</v>
      </c>
      <c r="BK150">
        <v>3</v>
      </c>
      <c r="BL150">
        <v>199.55</v>
      </c>
      <c r="BM150">
        <v>29.93</v>
      </c>
      <c r="BN150">
        <v>229.48</v>
      </c>
      <c r="BO150">
        <v>229.48</v>
      </c>
      <c r="BQ150" t="s">
        <v>533</v>
      </c>
      <c r="BR150" t="s">
        <v>97</v>
      </c>
      <c r="BS150" s="3">
        <v>45932</v>
      </c>
      <c r="BT150" s="4">
        <v>0.40208333333333335</v>
      </c>
      <c r="BU150" t="s">
        <v>534</v>
      </c>
      <c r="BV150" t="s">
        <v>86</v>
      </c>
      <c r="BY150">
        <v>12768</v>
      </c>
      <c r="BZ150" t="s">
        <v>87</v>
      </c>
      <c r="CA150" t="s">
        <v>535</v>
      </c>
      <c r="CC150" t="s">
        <v>531</v>
      </c>
      <c r="CD150">
        <v>6850</v>
      </c>
      <c r="CE150" t="s">
        <v>107</v>
      </c>
      <c r="CF150" s="3">
        <v>45933</v>
      </c>
      <c r="CI150">
        <v>2</v>
      </c>
      <c r="CJ150">
        <v>1</v>
      </c>
      <c r="CK150">
        <v>23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"080068246850"</f>
        <v>080068246850</v>
      </c>
      <c r="F151" s="3">
        <v>45931</v>
      </c>
      <c r="G151">
        <v>202607</v>
      </c>
      <c r="H151" t="s">
        <v>79</v>
      </c>
      <c r="I151" t="s">
        <v>80</v>
      </c>
      <c r="J151" t="s">
        <v>91</v>
      </c>
      <c r="K151" t="s">
        <v>78</v>
      </c>
      <c r="L151" t="s">
        <v>148</v>
      </c>
      <c r="M151" t="s">
        <v>149</v>
      </c>
      <c r="N151" t="s">
        <v>465</v>
      </c>
      <c r="O151" t="s">
        <v>82</v>
      </c>
      <c r="P151" t="str">
        <f>"4170062500                    "</f>
        <v xml:space="preserve">4170062500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17.46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3</v>
      </c>
      <c r="BJ151">
        <v>3.4</v>
      </c>
      <c r="BK151">
        <v>4</v>
      </c>
      <c r="BL151">
        <v>55.42</v>
      </c>
      <c r="BM151">
        <v>8.31</v>
      </c>
      <c r="BN151">
        <v>63.73</v>
      </c>
      <c r="BO151">
        <v>63.73</v>
      </c>
      <c r="BQ151" t="s">
        <v>466</v>
      </c>
      <c r="BR151" t="s">
        <v>97</v>
      </c>
      <c r="BS151" s="3">
        <v>45932</v>
      </c>
      <c r="BT151" s="4">
        <v>0.42916666666666664</v>
      </c>
      <c r="BU151" t="s">
        <v>518</v>
      </c>
      <c r="BV151" t="s">
        <v>86</v>
      </c>
      <c r="BY151">
        <v>16965</v>
      </c>
      <c r="BZ151" t="s">
        <v>87</v>
      </c>
      <c r="CA151" t="s">
        <v>519</v>
      </c>
      <c r="CC151" t="s">
        <v>149</v>
      </c>
      <c r="CD151">
        <v>2094</v>
      </c>
      <c r="CE151" t="s">
        <v>101</v>
      </c>
      <c r="CF151" s="3">
        <v>45932</v>
      </c>
      <c r="CI151">
        <v>1</v>
      </c>
      <c r="CJ151">
        <v>1</v>
      </c>
      <c r="CK151">
        <v>22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"080068247001"</f>
        <v>080068247001</v>
      </c>
      <c r="F152" s="3">
        <v>45931</v>
      </c>
      <c r="G152">
        <v>202607</v>
      </c>
      <c r="H152" t="s">
        <v>79</v>
      </c>
      <c r="I152" t="s">
        <v>80</v>
      </c>
      <c r="J152" t="s">
        <v>91</v>
      </c>
      <c r="K152" t="s">
        <v>78</v>
      </c>
      <c r="L152" t="s">
        <v>590</v>
      </c>
      <c r="M152" t="s">
        <v>591</v>
      </c>
      <c r="N152" t="s">
        <v>592</v>
      </c>
      <c r="O152" t="s">
        <v>82</v>
      </c>
      <c r="P152" t="str">
        <f>"4170062482                    "</f>
        <v xml:space="preserve">4170062482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43.31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0.6</v>
      </c>
      <c r="BK152">
        <v>1</v>
      </c>
      <c r="BL152">
        <v>137.47</v>
      </c>
      <c r="BM152">
        <v>20.62</v>
      </c>
      <c r="BN152">
        <v>158.09</v>
      </c>
      <c r="BO152">
        <v>158.09</v>
      </c>
      <c r="BQ152" t="s">
        <v>593</v>
      </c>
      <c r="BR152" t="s">
        <v>97</v>
      </c>
      <c r="BS152" s="3">
        <v>45932</v>
      </c>
      <c r="BT152" s="4">
        <v>0.49722222222222223</v>
      </c>
      <c r="BU152" t="s">
        <v>594</v>
      </c>
      <c r="BV152" t="s">
        <v>86</v>
      </c>
      <c r="BY152">
        <v>3192</v>
      </c>
      <c r="BZ152" t="s">
        <v>87</v>
      </c>
      <c r="CA152" t="s">
        <v>595</v>
      </c>
      <c r="CC152" t="s">
        <v>591</v>
      </c>
      <c r="CD152">
        <v>5257</v>
      </c>
      <c r="CE152" t="s">
        <v>101</v>
      </c>
      <c r="CF152" s="3">
        <v>45933</v>
      </c>
      <c r="CI152">
        <v>1</v>
      </c>
      <c r="CJ152">
        <v>1</v>
      </c>
      <c r="CK152">
        <v>23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"080068247012"</f>
        <v>080068247012</v>
      </c>
      <c r="F153" s="3">
        <v>45931</v>
      </c>
      <c r="G153">
        <v>202607</v>
      </c>
      <c r="H153" t="s">
        <v>79</v>
      </c>
      <c r="I153" t="s">
        <v>80</v>
      </c>
      <c r="J153" t="s">
        <v>91</v>
      </c>
      <c r="K153" t="s">
        <v>78</v>
      </c>
      <c r="L153" t="s">
        <v>121</v>
      </c>
      <c r="M153" t="s">
        <v>122</v>
      </c>
      <c r="N153" t="s">
        <v>154</v>
      </c>
      <c r="O153" t="s">
        <v>82</v>
      </c>
      <c r="P153" t="str">
        <f>"4170062560                    "</f>
        <v xml:space="preserve">4170062560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22.36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70.959999999999994</v>
      </c>
      <c r="BM153">
        <v>10.64</v>
      </c>
      <c r="BN153">
        <v>81.599999999999994</v>
      </c>
      <c r="BO153">
        <v>81.599999999999994</v>
      </c>
      <c r="BQ153" t="s">
        <v>155</v>
      </c>
      <c r="BR153" t="s">
        <v>97</v>
      </c>
      <c r="BS153" s="3">
        <v>45932</v>
      </c>
      <c r="BT153" s="4">
        <v>0.35416666666666669</v>
      </c>
      <c r="BU153" t="s">
        <v>596</v>
      </c>
      <c r="BV153" t="s">
        <v>86</v>
      </c>
      <c r="BY153">
        <v>1200</v>
      </c>
      <c r="BZ153" t="s">
        <v>87</v>
      </c>
      <c r="CA153" t="s">
        <v>311</v>
      </c>
      <c r="CC153" t="s">
        <v>122</v>
      </c>
      <c r="CD153">
        <v>4052</v>
      </c>
      <c r="CE153" t="s">
        <v>120</v>
      </c>
      <c r="CF153" s="3">
        <v>45932</v>
      </c>
      <c r="CI153">
        <v>1</v>
      </c>
      <c r="CJ153">
        <v>1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"080068247040"</f>
        <v>080068247040</v>
      </c>
      <c r="F154" s="3">
        <v>45931</v>
      </c>
      <c r="G154">
        <v>202607</v>
      </c>
      <c r="H154" t="s">
        <v>79</v>
      </c>
      <c r="I154" t="s">
        <v>80</v>
      </c>
      <c r="J154" t="s">
        <v>91</v>
      </c>
      <c r="K154" t="s">
        <v>78</v>
      </c>
      <c r="L154" t="s">
        <v>92</v>
      </c>
      <c r="M154" t="s">
        <v>93</v>
      </c>
      <c r="N154" t="s">
        <v>597</v>
      </c>
      <c r="O154" t="s">
        <v>82</v>
      </c>
      <c r="P154" t="str">
        <f>"4170062558                    "</f>
        <v xml:space="preserve">4170062558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22.36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70.959999999999994</v>
      </c>
      <c r="BM154">
        <v>10.64</v>
      </c>
      <c r="BN154">
        <v>81.599999999999994</v>
      </c>
      <c r="BO154">
        <v>81.599999999999994</v>
      </c>
      <c r="BQ154" t="s">
        <v>598</v>
      </c>
      <c r="BR154" t="s">
        <v>97</v>
      </c>
      <c r="BS154" s="3">
        <v>45932</v>
      </c>
      <c r="BT154" s="4">
        <v>0.4152777777777778</v>
      </c>
      <c r="BU154" t="s">
        <v>599</v>
      </c>
      <c r="BV154" t="s">
        <v>86</v>
      </c>
      <c r="BY154">
        <v>1200</v>
      </c>
      <c r="BZ154" t="s">
        <v>87</v>
      </c>
      <c r="CA154" t="s">
        <v>600</v>
      </c>
      <c r="CC154" t="s">
        <v>93</v>
      </c>
      <c r="CD154">
        <v>3201</v>
      </c>
      <c r="CE154" t="s">
        <v>120</v>
      </c>
      <c r="CF154" s="3">
        <v>45933</v>
      </c>
      <c r="CI154">
        <v>1</v>
      </c>
      <c r="CJ154">
        <v>1</v>
      </c>
      <c r="CK154">
        <v>21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"080068247045"</f>
        <v>080068247045</v>
      </c>
      <c r="F155" s="3">
        <v>45931</v>
      </c>
      <c r="G155">
        <v>202607</v>
      </c>
      <c r="H155" t="s">
        <v>79</v>
      </c>
      <c r="I155" t="s">
        <v>80</v>
      </c>
      <c r="J155" t="s">
        <v>91</v>
      </c>
      <c r="K155" t="s">
        <v>78</v>
      </c>
      <c r="L155" t="s">
        <v>92</v>
      </c>
      <c r="M155" t="s">
        <v>93</v>
      </c>
      <c r="N155" t="s">
        <v>601</v>
      </c>
      <c r="O155" t="s">
        <v>82</v>
      </c>
      <c r="P155" t="str">
        <f>"4170062440                    "</f>
        <v xml:space="preserve">4170062440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67.03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6</v>
      </c>
      <c r="BJ155">
        <v>1.7</v>
      </c>
      <c r="BK155">
        <v>6</v>
      </c>
      <c r="BL155">
        <v>212.75</v>
      </c>
      <c r="BM155">
        <v>31.91</v>
      </c>
      <c r="BN155">
        <v>244.66</v>
      </c>
      <c r="BO155">
        <v>244.66</v>
      </c>
      <c r="BQ155" t="s">
        <v>602</v>
      </c>
      <c r="BR155" t="s">
        <v>97</v>
      </c>
      <c r="BS155" s="3">
        <v>45932</v>
      </c>
      <c r="BT155" s="4">
        <v>0.47222222222222221</v>
      </c>
      <c r="BU155" t="s">
        <v>603</v>
      </c>
      <c r="BV155" t="s">
        <v>86</v>
      </c>
      <c r="BY155">
        <v>8512</v>
      </c>
      <c r="BZ155" t="s">
        <v>87</v>
      </c>
      <c r="CC155" t="s">
        <v>93</v>
      </c>
      <c r="CD155">
        <v>3212</v>
      </c>
      <c r="CE155" t="s">
        <v>101</v>
      </c>
      <c r="CF155" s="3">
        <v>45932</v>
      </c>
      <c r="CI155">
        <v>2</v>
      </c>
      <c r="CJ155">
        <v>1</v>
      </c>
      <c r="CK155">
        <v>21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"080068247088"</f>
        <v>080068247088</v>
      </c>
      <c r="F156" s="3">
        <v>45931</v>
      </c>
      <c r="G156">
        <v>202607</v>
      </c>
      <c r="H156" t="s">
        <v>79</v>
      </c>
      <c r="I156" t="s">
        <v>80</v>
      </c>
      <c r="J156" t="s">
        <v>91</v>
      </c>
      <c r="K156" t="s">
        <v>78</v>
      </c>
      <c r="L156" t="s">
        <v>168</v>
      </c>
      <c r="M156" t="s">
        <v>169</v>
      </c>
      <c r="N156" t="s">
        <v>170</v>
      </c>
      <c r="O156" t="s">
        <v>82</v>
      </c>
      <c r="P156" t="str">
        <f>"4170062514                    "</f>
        <v xml:space="preserve">4170062514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22.36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70.959999999999994</v>
      </c>
      <c r="BM156">
        <v>10.64</v>
      </c>
      <c r="BN156">
        <v>81.599999999999994</v>
      </c>
      <c r="BO156">
        <v>81.599999999999994</v>
      </c>
      <c r="BQ156" t="s">
        <v>171</v>
      </c>
      <c r="BR156" t="s">
        <v>97</v>
      </c>
      <c r="BS156" s="3">
        <v>45932</v>
      </c>
      <c r="BT156" s="4">
        <v>0.38333333333333336</v>
      </c>
      <c r="BU156" t="s">
        <v>172</v>
      </c>
      <c r="BV156" t="s">
        <v>86</v>
      </c>
      <c r="BY156">
        <v>1200</v>
      </c>
      <c r="BZ156" t="s">
        <v>87</v>
      </c>
      <c r="CC156" t="s">
        <v>169</v>
      </c>
      <c r="CD156" s="5" t="s">
        <v>173</v>
      </c>
      <c r="CE156" t="s">
        <v>120</v>
      </c>
      <c r="CF156" s="3">
        <v>45932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"080068247126"</f>
        <v>080068247126</v>
      </c>
      <c r="F157" s="3">
        <v>45931</v>
      </c>
      <c r="G157">
        <v>202607</v>
      </c>
      <c r="H157" t="s">
        <v>79</v>
      </c>
      <c r="I157" t="s">
        <v>80</v>
      </c>
      <c r="J157" t="s">
        <v>91</v>
      </c>
      <c r="K157" t="s">
        <v>78</v>
      </c>
      <c r="L157" t="s">
        <v>487</v>
      </c>
      <c r="M157" t="s">
        <v>488</v>
      </c>
      <c r="N157" t="s">
        <v>489</v>
      </c>
      <c r="O157" t="s">
        <v>82</v>
      </c>
      <c r="P157" t="str">
        <f>"4170062477                    "</f>
        <v xml:space="preserve">4170062477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62.87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3</v>
      </c>
      <c r="BJ157">
        <v>1.7</v>
      </c>
      <c r="BK157">
        <v>3</v>
      </c>
      <c r="BL157">
        <v>199.55</v>
      </c>
      <c r="BM157">
        <v>29.93</v>
      </c>
      <c r="BN157">
        <v>229.48</v>
      </c>
      <c r="BO157">
        <v>229.48</v>
      </c>
      <c r="BQ157" t="s">
        <v>490</v>
      </c>
      <c r="BR157" t="s">
        <v>97</v>
      </c>
      <c r="BS157" s="3">
        <v>45932</v>
      </c>
      <c r="BT157" s="4">
        <v>0.50416666666666665</v>
      </c>
      <c r="BU157" t="s">
        <v>604</v>
      </c>
      <c r="BV157" t="s">
        <v>86</v>
      </c>
      <c r="BY157">
        <v>8512</v>
      </c>
      <c r="BZ157" t="s">
        <v>87</v>
      </c>
      <c r="CA157" t="s">
        <v>492</v>
      </c>
      <c r="CC157" t="s">
        <v>488</v>
      </c>
      <c r="CD157">
        <v>6715</v>
      </c>
      <c r="CE157" t="s">
        <v>101</v>
      </c>
      <c r="CF157" s="3">
        <v>45933</v>
      </c>
      <c r="CI157">
        <v>2</v>
      </c>
      <c r="CJ157">
        <v>1</v>
      </c>
      <c r="CK157">
        <v>23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"080068247173"</f>
        <v>080068247173</v>
      </c>
      <c r="F158" s="3">
        <v>45931</v>
      </c>
      <c r="G158">
        <v>202607</v>
      </c>
      <c r="H158" t="s">
        <v>79</v>
      </c>
      <c r="I158" t="s">
        <v>80</v>
      </c>
      <c r="J158" t="s">
        <v>91</v>
      </c>
      <c r="K158" t="s">
        <v>78</v>
      </c>
      <c r="L158" t="s">
        <v>605</v>
      </c>
      <c r="M158" t="s">
        <v>606</v>
      </c>
      <c r="N158" t="s">
        <v>607</v>
      </c>
      <c r="O158" t="s">
        <v>82</v>
      </c>
      <c r="P158" t="str">
        <f>"4170062475                    "</f>
        <v xml:space="preserve">4170062475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43.31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2</v>
      </c>
      <c r="BJ158">
        <v>1.6</v>
      </c>
      <c r="BK158">
        <v>2</v>
      </c>
      <c r="BL158">
        <v>137.47</v>
      </c>
      <c r="BM158">
        <v>20.62</v>
      </c>
      <c r="BN158">
        <v>158.09</v>
      </c>
      <c r="BO158">
        <v>158.09</v>
      </c>
      <c r="BQ158" t="s">
        <v>608</v>
      </c>
      <c r="BR158" t="s">
        <v>97</v>
      </c>
      <c r="BS158" s="3">
        <v>45932</v>
      </c>
      <c r="BT158" s="4">
        <v>0.34791666666666665</v>
      </c>
      <c r="BU158" t="s">
        <v>609</v>
      </c>
      <c r="BV158" t="s">
        <v>86</v>
      </c>
      <c r="BY158">
        <v>7980</v>
      </c>
      <c r="BZ158" t="s">
        <v>87</v>
      </c>
      <c r="CA158" t="s">
        <v>610</v>
      </c>
      <c r="CC158" t="s">
        <v>606</v>
      </c>
      <c r="CD158">
        <v>1947</v>
      </c>
      <c r="CE158" t="s">
        <v>101</v>
      </c>
      <c r="CF158" s="3">
        <v>45932</v>
      </c>
      <c r="CI158">
        <v>1</v>
      </c>
      <c r="CJ158">
        <v>1</v>
      </c>
      <c r="CK158">
        <v>23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"080068247221"</f>
        <v>080068247221</v>
      </c>
      <c r="F159" s="3">
        <v>45931</v>
      </c>
      <c r="G159">
        <v>202607</v>
      </c>
      <c r="H159" t="s">
        <v>79</v>
      </c>
      <c r="I159" t="s">
        <v>80</v>
      </c>
      <c r="J159" t="s">
        <v>91</v>
      </c>
      <c r="K159" t="s">
        <v>78</v>
      </c>
      <c r="L159" t="s">
        <v>206</v>
      </c>
      <c r="M159" t="s">
        <v>207</v>
      </c>
      <c r="N159" t="s">
        <v>611</v>
      </c>
      <c r="O159" t="s">
        <v>82</v>
      </c>
      <c r="P159" t="str">
        <f>"4170062565                    "</f>
        <v xml:space="preserve">4170062565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173.13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4</v>
      </c>
      <c r="BJ159">
        <v>15.4</v>
      </c>
      <c r="BK159">
        <v>15.5</v>
      </c>
      <c r="BL159">
        <v>549.51</v>
      </c>
      <c r="BM159">
        <v>82.43</v>
      </c>
      <c r="BN159">
        <v>631.94000000000005</v>
      </c>
      <c r="BO159">
        <v>631.94000000000005</v>
      </c>
      <c r="BQ159" t="s">
        <v>612</v>
      </c>
      <c r="BR159" t="s">
        <v>97</v>
      </c>
      <c r="BS159" s="3">
        <v>45932</v>
      </c>
      <c r="BT159" s="4">
        <v>0.33263888888888887</v>
      </c>
      <c r="BU159" t="s">
        <v>613</v>
      </c>
      <c r="BV159" t="s">
        <v>86</v>
      </c>
      <c r="BY159">
        <v>76908</v>
      </c>
      <c r="BZ159" t="s">
        <v>87</v>
      </c>
      <c r="CA159" t="s">
        <v>423</v>
      </c>
      <c r="CC159" t="s">
        <v>207</v>
      </c>
      <c r="CD159">
        <v>7530</v>
      </c>
      <c r="CE159" t="s">
        <v>107</v>
      </c>
      <c r="CF159" s="3">
        <v>45933</v>
      </c>
      <c r="CI159">
        <v>1</v>
      </c>
      <c r="CJ159">
        <v>1</v>
      </c>
      <c r="CK159">
        <v>21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"080068247454"</f>
        <v>080068247454</v>
      </c>
      <c r="F160" s="3">
        <v>45931</v>
      </c>
      <c r="G160">
        <v>202607</v>
      </c>
      <c r="H160" t="s">
        <v>79</v>
      </c>
      <c r="I160" t="s">
        <v>80</v>
      </c>
      <c r="J160" t="s">
        <v>91</v>
      </c>
      <c r="K160" t="s">
        <v>78</v>
      </c>
      <c r="L160" t="s">
        <v>223</v>
      </c>
      <c r="M160" t="s">
        <v>224</v>
      </c>
      <c r="N160" t="s">
        <v>614</v>
      </c>
      <c r="O160" t="s">
        <v>82</v>
      </c>
      <c r="P160" t="str">
        <f>"4170062559                    "</f>
        <v xml:space="preserve">4170062559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17.46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55.42</v>
      </c>
      <c r="BM160">
        <v>8.31</v>
      </c>
      <c r="BN160">
        <v>63.73</v>
      </c>
      <c r="BO160">
        <v>63.73</v>
      </c>
      <c r="BQ160" t="s">
        <v>615</v>
      </c>
      <c r="BR160" t="s">
        <v>97</v>
      </c>
      <c r="BS160" s="3">
        <v>45932</v>
      </c>
      <c r="BT160" s="4">
        <v>0.33333333333333331</v>
      </c>
      <c r="BU160" t="s">
        <v>616</v>
      </c>
      <c r="BV160" t="s">
        <v>86</v>
      </c>
      <c r="BY160">
        <v>1200</v>
      </c>
      <c r="BZ160" t="s">
        <v>87</v>
      </c>
      <c r="CC160" t="s">
        <v>224</v>
      </c>
      <c r="CD160">
        <v>1459</v>
      </c>
      <c r="CE160" t="s">
        <v>120</v>
      </c>
      <c r="CF160" s="3">
        <v>45932</v>
      </c>
      <c r="CI160">
        <v>1</v>
      </c>
      <c r="CJ160">
        <v>1</v>
      </c>
      <c r="CK160">
        <v>22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"080068247488"</f>
        <v>080068247488</v>
      </c>
      <c r="F161" s="3">
        <v>45931</v>
      </c>
      <c r="G161">
        <v>202607</v>
      </c>
      <c r="H161" t="s">
        <v>79</v>
      </c>
      <c r="I161" t="s">
        <v>80</v>
      </c>
      <c r="J161" t="s">
        <v>91</v>
      </c>
      <c r="K161" t="s">
        <v>78</v>
      </c>
      <c r="L161" t="s">
        <v>206</v>
      </c>
      <c r="M161" t="s">
        <v>207</v>
      </c>
      <c r="N161" t="s">
        <v>208</v>
      </c>
      <c r="O161" t="s">
        <v>82</v>
      </c>
      <c r="P161" t="str">
        <f>"4170062551                    "</f>
        <v xml:space="preserve">4170062551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22.36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70.959999999999994</v>
      </c>
      <c r="BM161">
        <v>10.64</v>
      </c>
      <c r="BN161">
        <v>81.599999999999994</v>
      </c>
      <c r="BO161">
        <v>81.599999999999994</v>
      </c>
      <c r="BQ161" t="s">
        <v>209</v>
      </c>
      <c r="BR161" t="s">
        <v>97</v>
      </c>
      <c r="BS161" s="3">
        <v>45932</v>
      </c>
      <c r="BT161" s="4">
        <v>0.38194444444444442</v>
      </c>
      <c r="BU161" t="s">
        <v>210</v>
      </c>
      <c r="BV161" t="s">
        <v>86</v>
      </c>
      <c r="BY161">
        <v>1200</v>
      </c>
      <c r="BZ161" t="s">
        <v>87</v>
      </c>
      <c r="CA161" t="s">
        <v>211</v>
      </c>
      <c r="CC161" t="s">
        <v>207</v>
      </c>
      <c r="CD161">
        <v>7441</v>
      </c>
      <c r="CE161" t="s">
        <v>120</v>
      </c>
      <c r="CF161" s="3">
        <v>45933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"080068247527"</f>
        <v>080068247527</v>
      </c>
      <c r="F162" s="3">
        <v>45931</v>
      </c>
      <c r="G162">
        <v>202607</v>
      </c>
      <c r="H162" t="s">
        <v>79</v>
      </c>
      <c r="I162" t="s">
        <v>80</v>
      </c>
      <c r="J162" t="s">
        <v>91</v>
      </c>
      <c r="K162" t="s">
        <v>78</v>
      </c>
      <c r="L162" t="s">
        <v>453</v>
      </c>
      <c r="M162" t="s">
        <v>454</v>
      </c>
      <c r="N162" t="s">
        <v>563</v>
      </c>
      <c r="O162" t="s">
        <v>82</v>
      </c>
      <c r="P162" t="str">
        <f>"4170062517                    "</f>
        <v xml:space="preserve">4170062517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22.36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</v>
      </c>
      <c r="BJ162">
        <v>1.1000000000000001</v>
      </c>
      <c r="BK162">
        <v>2</v>
      </c>
      <c r="BL162">
        <v>70.959999999999994</v>
      </c>
      <c r="BM162">
        <v>10.64</v>
      </c>
      <c r="BN162">
        <v>81.599999999999994</v>
      </c>
      <c r="BO162">
        <v>81.599999999999994</v>
      </c>
      <c r="BQ162" t="s">
        <v>564</v>
      </c>
      <c r="BR162" t="s">
        <v>97</v>
      </c>
      <c r="BS162" s="3">
        <v>45932</v>
      </c>
      <c r="BT162" s="4">
        <v>0.55694444444444446</v>
      </c>
      <c r="BU162" t="s">
        <v>617</v>
      </c>
      <c r="BV162" t="s">
        <v>90</v>
      </c>
      <c r="BW162" t="s">
        <v>136</v>
      </c>
      <c r="BX162" t="s">
        <v>137</v>
      </c>
      <c r="BY162">
        <v>5510</v>
      </c>
      <c r="BZ162" t="s">
        <v>87</v>
      </c>
      <c r="CA162" t="s">
        <v>138</v>
      </c>
      <c r="CC162" t="s">
        <v>454</v>
      </c>
      <c r="CD162">
        <v>3610</v>
      </c>
      <c r="CE162" t="s">
        <v>101</v>
      </c>
      <c r="CF162" s="3">
        <v>45933</v>
      </c>
      <c r="CI162">
        <v>1</v>
      </c>
      <c r="CJ162">
        <v>1</v>
      </c>
      <c r="CK162">
        <v>21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"080068248117"</f>
        <v>080068248117</v>
      </c>
      <c r="F163" s="3">
        <v>45931</v>
      </c>
      <c r="G163">
        <v>202607</v>
      </c>
      <c r="H163" t="s">
        <v>79</v>
      </c>
      <c r="I163" t="s">
        <v>80</v>
      </c>
      <c r="J163" t="s">
        <v>91</v>
      </c>
      <c r="K163" t="s">
        <v>78</v>
      </c>
      <c r="L163" t="s">
        <v>102</v>
      </c>
      <c r="M163" t="s">
        <v>103</v>
      </c>
      <c r="N163" t="s">
        <v>618</v>
      </c>
      <c r="O163" t="s">
        <v>82</v>
      </c>
      <c r="P163" t="str">
        <f>"4170062562                    "</f>
        <v xml:space="preserve">4170062562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17.46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55.42</v>
      </c>
      <c r="BM163">
        <v>8.31</v>
      </c>
      <c r="BN163">
        <v>63.73</v>
      </c>
      <c r="BO163">
        <v>63.73</v>
      </c>
      <c r="BQ163" t="s">
        <v>619</v>
      </c>
      <c r="BR163" t="s">
        <v>97</v>
      </c>
      <c r="BS163" s="3">
        <v>45932</v>
      </c>
      <c r="BT163" s="4">
        <v>0.2986111111111111</v>
      </c>
      <c r="BU163" t="s">
        <v>620</v>
      </c>
      <c r="BV163" t="s">
        <v>86</v>
      </c>
      <c r="BY163">
        <v>1200</v>
      </c>
      <c r="BZ163" t="s">
        <v>87</v>
      </c>
      <c r="CA163" t="s">
        <v>621</v>
      </c>
      <c r="CC163" t="s">
        <v>103</v>
      </c>
      <c r="CD163">
        <v>1451</v>
      </c>
      <c r="CE163" t="s">
        <v>120</v>
      </c>
      <c r="CF163" s="3">
        <v>45933</v>
      </c>
      <c r="CI163">
        <v>1</v>
      </c>
      <c r="CJ163">
        <v>1</v>
      </c>
      <c r="CK163">
        <v>22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"080068248187"</f>
        <v>080068248187</v>
      </c>
      <c r="F164" s="3">
        <v>45931</v>
      </c>
      <c r="G164">
        <v>202607</v>
      </c>
      <c r="H164" t="s">
        <v>79</v>
      </c>
      <c r="I164" t="s">
        <v>80</v>
      </c>
      <c r="J164" t="s">
        <v>91</v>
      </c>
      <c r="K164" t="s">
        <v>78</v>
      </c>
      <c r="L164" t="s">
        <v>218</v>
      </c>
      <c r="M164" t="s">
        <v>219</v>
      </c>
      <c r="N164" t="s">
        <v>622</v>
      </c>
      <c r="O164" t="s">
        <v>82</v>
      </c>
      <c r="P164" t="str">
        <f>"4170062549                    "</f>
        <v xml:space="preserve">4170062549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17.46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55.42</v>
      </c>
      <c r="BM164">
        <v>8.31</v>
      </c>
      <c r="BN164">
        <v>63.73</v>
      </c>
      <c r="BO164">
        <v>63.73</v>
      </c>
      <c r="BQ164" t="s">
        <v>623</v>
      </c>
      <c r="BR164" t="s">
        <v>97</v>
      </c>
      <c r="BS164" s="3">
        <v>45932</v>
      </c>
      <c r="BT164" s="4">
        <v>0.41666666666666669</v>
      </c>
      <c r="BU164" t="s">
        <v>624</v>
      </c>
      <c r="BV164" t="s">
        <v>86</v>
      </c>
      <c r="BY164">
        <v>1200</v>
      </c>
      <c r="BZ164" t="s">
        <v>87</v>
      </c>
      <c r="CC164" t="s">
        <v>219</v>
      </c>
      <c r="CD164">
        <v>1559</v>
      </c>
      <c r="CE164" t="s">
        <v>120</v>
      </c>
      <c r="CF164" s="3">
        <v>45932</v>
      </c>
      <c r="CI164">
        <v>1</v>
      </c>
      <c r="CJ164">
        <v>1</v>
      </c>
      <c r="CK164">
        <v>22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"080068248420"</f>
        <v>080068248420</v>
      </c>
      <c r="F165" s="3">
        <v>45931</v>
      </c>
      <c r="G165">
        <v>202607</v>
      </c>
      <c r="H165" t="s">
        <v>79</v>
      </c>
      <c r="I165" t="s">
        <v>80</v>
      </c>
      <c r="J165" t="s">
        <v>91</v>
      </c>
      <c r="K165" t="s">
        <v>78</v>
      </c>
      <c r="L165" t="s">
        <v>79</v>
      </c>
      <c r="M165" t="s">
        <v>80</v>
      </c>
      <c r="N165" t="s">
        <v>625</v>
      </c>
      <c r="O165" t="s">
        <v>226</v>
      </c>
      <c r="P165" t="str">
        <f>"4170062501                    "</f>
        <v xml:space="preserve">4170062501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19.43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9</v>
      </c>
      <c r="BJ165">
        <v>8.9</v>
      </c>
      <c r="BK165">
        <v>9</v>
      </c>
      <c r="BL165">
        <v>61.66</v>
      </c>
      <c r="BM165">
        <v>9.25</v>
      </c>
      <c r="BN165">
        <v>70.91</v>
      </c>
      <c r="BO165">
        <v>70.91</v>
      </c>
      <c r="BQ165" t="s">
        <v>626</v>
      </c>
      <c r="BR165" t="s">
        <v>97</v>
      </c>
      <c r="BS165" s="3">
        <v>45932</v>
      </c>
      <c r="BT165" s="4">
        <v>0.52500000000000002</v>
      </c>
      <c r="BU165" t="s">
        <v>627</v>
      </c>
      <c r="BV165" t="s">
        <v>86</v>
      </c>
      <c r="BY165">
        <v>44640</v>
      </c>
      <c r="BZ165" t="s">
        <v>99</v>
      </c>
      <c r="CA165" t="s">
        <v>280</v>
      </c>
      <c r="CC165" t="s">
        <v>80</v>
      </c>
      <c r="CD165">
        <v>1614</v>
      </c>
      <c r="CE165" t="s">
        <v>101</v>
      </c>
      <c r="CF165" s="3">
        <v>45932</v>
      </c>
      <c r="CI165">
        <v>1</v>
      </c>
      <c r="CJ165">
        <v>1</v>
      </c>
      <c r="CK165">
        <v>32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"080068248511"</f>
        <v>080068248511</v>
      </c>
      <c r="F166" s="3">
        <v>45931</v>
      </c>
      <c r="G166">
        <v>202607</v>
      </c>
      <c r="H166" t="s">
        <v>79</v>
      </c>
      <c r="I166" t="s">
        <v>80</v>
      </c>
      <c r="J166" t="s">
        <v>91</v>
      </c>
      <c r="K166" t="s">
        <v>78</v>
      </c>
      <c r="L166" t="s">
        <v>79</v>
      </c>
      <c r="M166" t="s">
        <v>80</v>
      </c>
      <c r="N166" t="s">
        <v>628</v>
      </c>
      <c r="O166" t="s">
        <v>95</v>
      </c>
      <c r="P166" t="str">
        <f>"4170062594                    "</f>
        <v xml:space="preserve">4170062594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40.19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14</v>
      </c>
      <c r="BJ166">
        <v>21.3</v>
      </c>
      <c r="BK166">
        <v>22</v>
      </c>
      <c r="BL166">
        <v>133.41999999999999</v>
      </c>
      <c r="BM166">
        <v>20.010000000000002</v>
      </c>
      <c r="BN166">
        <v>153.43</v>
      </c>
      <c r="BO166">
        <v>153.43</v>
      </c>
      <c r="BQ166" t="s">
        <v>629</v>
      </c>
      <c r="BR166" t="s">
        <v>97</v>
      </c>
      <c r="BS166" s="3">
        <v>45932</v>
      </c>
      <c r="BT166" s="4">
        <v>0.42986111111111114</v>
      </c>
      <c r="BU166" t="s">
        <v>630</v>
      </c>
      <c r="BV166" t="s">
        <v>86</v>
      </c>
      <c r="BY166">
        <v>106640</v>
      </c>
      <c r="BZ166" t="s">
        <v>99</v>
      </c>
      <c r="CA166" t="s">
        <v>631</v>
      </c>
      <c r="CC166" t="s">
        <v>80</v>
      </c>
      <c r="CD166">
        <v>1601</v>
      </c>
      <c r="CE166" t="s">
        <v>101</v>
      </c>
      <c r="CF166" s="3">
        <v>45932</v>
      </c>
      <c r="CI166">
        <v>1</v>
      </c>
      <c r="CJ166">
        <v>1</v>
      </c>
      <c r="CK166">
        <v>42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"080068248532"</f>
        <v>080068248532</v>
      </c>
      <c r="F167" s="3">
        <v>45931</v>
      </c>
      <c r="G167">
        <v>202607</v>
      </c>
      <c r="H167" t="s">
        <v>79</v>
      </c>
      <c r="I167" t="s">
        <v>80</v>
      </c>
      <c r="J167" t="s">
        <v>91</v>
      </c>
      <c r="K167" t="s">
        <v>78</v>
      </c>
      <c r="L167" t="s">
        <v>121</v>
      </c>
      <c r="M167" t="s">
        <v>122</v>
      </c>
      <c r="N167" t="s">
        <v>632</v>
      </c>
      <c r="O167" t="s">
        <v>82</v>
      </c>
      <c r="P167" t="str">
        <f>"4170062535                    "</f>
        <v xml:space="preserve">4170062535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22.36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70.959999999999994</v>
      </c>
      <c r="BM167">
        <v>10.64</v>
      </c>
      <c r="BN167">
        <v>81.599999999999994</v>
      </c>
      <c r="BO167">
        <v>81.599999999999994</v>
      </c>
      <c r="BQ167" t="s">
        <v>633</v>
      </c>
      <c r="BR167" t="s">
        <v>97</v>
      </c>
      <c r="BS167" s="3">
        <v>45932</v>
      </c>
      <c r="BT167" s="4">
        <v>0.42708333333333331</v>
      </c>
      <c r="BU167" t="s">
        <v>634</v>
      </c>
      <c r="BV167" t="s">
        <v>86</v>
      </c>
      <c r="BY167">
        <v>1200</v>
      </c>
      <c r="BZ167" t="s">
        <v>87</v>
      </c>
      <c r="CA167" t="s">
        <v>635</v>
      </c>
      <c r="CC167" t="s">
        <v>122</v>
      </c>
      <c r="CD167">
        <v>4000</v>
      </c>
      <c r="CE167" t="s">
        <v>120</v>
      </c>
      <c r="CF167" s="3">
        <v>45932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"080068248663"</f>
        <v>080068248663</v>
      </c>
      <c r="F168" s="3">
        <v>45931</v>
      </c>
      <c r="G168">
        <v>202607</v>
      </c>
      <c r="H168" t="s">
        <v>79</v>
      </c>
      <c r="I168" t="s">
        <v>80</v>
      </c>
      <c r="J168" t="s">
        <v>91</v>
      </c>
      <c r="K168" t="s">
        <v>78</v>
      </c>
      <c r="L168" t="s">
        <v>306</v>
      </c>
      <c r="M168" t="s">
        <v>307</v>
      </c>
      <c r="N168" t="s">
        <v>636</v>
      </c>
      <c r="O168" t="s">
        <v>82</v>
      </c>
      <c r="P168" t="str">
        <f>"4170062543                    "</f>
        <v xml:space="preserve">4170062543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22.36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70.959999999999994</v>
      </c>
      <c r="BM168">
        <v>10.64</v>
      </c>
      <c r="BN168">
        <v>81.599999999999994</v>
      </c>
      <c r="BO168">
        <v>81.599999999999994</v>
      </c>
      <c r="BQ168" t="s">
        <v>637</v>
      </c>
      <c r="BR168" t="s">
        <v>97</v>
      </c>
      <c r="BS168" s="3">
        <v>45932</v>
      </c>
      <c r="BT168" s="4">
        <v>0.58194444444444449</v>
      </c>
      <c r="BU168" t="s">
        <v>638</v>
      </c>
      <c r="BV168" t="s">
        <v>90</v>
      </c>
      <c r="BW168" t="s">
        <v>136</v>
      </c>
      <c r="BX168" t="s">
        <v>137</v>
      </c>
      <c r="BY168">
        <v>1200</v>
      </c>
      <c r="BZ168" t="s">
        <v>87</v>
      </c>
      <c r="CA168" t="s">
        <v>311</v>
      </c>
      <c r="CC168" t="s">
        <v>307</v>
      </c>
      <c r="CD168">
        <v>4113</v>
      </c>
      <c r="CE168" t="s">
        <v>120</v>
      </c>
      <c r="CF168" s="3">
        <v>45932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"080068248678"</f>
        <v>080068248678</v>
      </c>
      <c r="F169" s="3">
        <v>45931</v>
      </c>
      <c r="G169">
        <v>202607</v>
      </c>
      <c r="H169" t="s">
        <v>79</v>
      </c>
      <c r="I169" t="s">
        <v>80</v>
      </c>
      <c r="J169" t="s">
        <v>91</v>
      </c>
      <c r="K169" t="s">
        <v>78</v>
      </c>
      <c r="L169" t="s">
        <v>453</v>
      </c>
      <c r="M169" t="s">
        <v>454</v>
      </c>
      <c r="N169" t="s">
        <v>639</v>
      </c>
      <c r="O169" t="s">
        <v>82</v>
      </c>
      <c r="P169" t="str">
        <f>"4170062570                    "</f>
        <v xml:space="preserve">4170062570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212.23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19</v>
      </c>
      <c r="BJ169">
        <v>8.1</v>
      </c>
      <c r="BK169">
        <v>19</v>
      </c>
      <c r="BL169">
        <v>673.59</v>
      </c>
      <c r="BM169">
        <v>101.04</v>
      </c>
      <c r="BN169">
        <v>774.63</v>
      </c>
      <c r="BO169">
        <v>774.63</v>
      </c>
      <c r="BQ169" t="s">
        <v>640</v>
      </c>
      <c r="BR169" t="s">
        <v>97</v>
      </c>
      <c r="BS169" s="3">
        <v>45932</v>
      </c>
      <c r="BT169" s="4">
        <v>0.42152777777777778</v>
      </c>
      <c r="BU169" t="s">
        <v>641</v>
      </c>
      <c r="BV169" t="s">
        <v>86</v>
      </c>
      <c r="BY169">
        <v>40716</v>
      </c>
      <c r="BZ169" t="s">
        <v>87</v>
      </c>
      <c r="CA169" t="s">
        <v>457</v>
      </c>
      <c r="CC169" t="s">
        <v>454</v>
      </c>
      <c r="CD169">
        <v>3610</v>
      </c>
      <c r="CE169" t="s">
        <v>101</v>
      </c>
      <c r="CF169" s="3">
        <v>45932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"080068248701"</f>
        <v>080068248701</v>
      </c>
      <c r="F170" s="3">
        <v>45931</v>
      </c>
      <c r="G170">
        <v>202607</v>
      </c>
      <c r="H170" t="s">
        <v>79</v>
      </c>
      <c r="I170" t="s">
        <v>80</v>
      </c>
      <c r="J170" t="s">
        <v>91</v>
      </c>
      <c r="K170" t="s">
        <v>78</v>
      </c>
      <c r="L170" t="s">
        <v>168</v>
      </c>
      <c r="M170" t="s">
        <v>169</v>
      </c>
      <c r="N170" t="s">
        <v>584</v>
      </c>
      <c r="O170" t="s">
        <v>82</v>
      </c>
      <c r="P170" t="str">
        <f>"4170062539                    "</f>
        <v xml:space="preserve">4170062539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22.36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70.959999999999994</v>
      </c>
      <c r="BM170">
        <v>10.64</v>
      </c>
      <c r="BN170">
        <v>81.599999999999994</v>
      </c>
      <c r="BO170">
        <v>81.599999999999994</v>
      </c>
      <c r="BQ170" t="s">
        <v>585</v>
      </c>
      <c r="BR170" t="s">
        <v>97</v>
      </c>
      <c r="BS170" s="3">
        <v>45932</v>
      </c>
      <c r="BT170" s="4">
        <v>0.68888888888888888</v>
      </c>
      <c r="BU170" t="s">
        <v>586</v>
      </c>
      <c r="BV170" t="s">
        <v>90</v>
      </c>
      <c r="BW170" t="s">
        <v>188</v>
      </c>
      <c r="BX170" t="s">
        <v>215</v>
      </c>
      <c r="BY170">
        <v>1200</v>
      </c>
      <c r="BZ170" t="s">
        <v>87</v>
      </c>
      <c r="CA170" t="s">
        <v>146</v>
      </c>
      <c r="CC170" t="s">
        <v>169</v>
      </c>
      <c r="CD170" s="5" t="s">
        <v>190</v>
      </c>
      <c r="CE170" t="s">
        <v>120</v>
      </c>
      <c r="CF170" s="3">
        <v>45932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"080068248716"</f>
        <v>080068248716</v>
      </c>
      <c r="F171" s="3">
        <v>45931</v>
      </c>
      <c r="G171">
        <v>202607</v>
      </c>
      <c r="H171" t="s">
        <v>79</v>
      </c>
      <c r="I171" t="s">
        <v>80</v>
      </c>
      <c r="J171" t="s">
        <v>91</v>
      </c>
      <c r="K171" t="s">
        <v>78</v>
      </c>
      <c r="L171" t="s">
        <v>642</v>
      </c>
      <c r="M171" t="s">
        <v>643</v>
      </c>
      <c r="N171" t="s">
        <v>644</v>
      </c>
      <c r="O171" t="s">
        <v>82</v>
      </c>
      <c r="P171" t="str">
        <f>"4170062595                    "</f>
        <v xml:space="preserve">4170062595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72.650000000000006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3.1</v>
      </c>
      <c r="BK171">
        <v>3.5</v>
      </c>
      <c r="BL171">
        <v>230.59</v>
      </c>
      <c r="BM171">
        <v>34.590000000000003</v>
      </c>
      <c r="BN171">
        <v>265.18</v>
      </c>
      <c r="BO171">
        <v>265.18</v>
      </c>
      <c r="BQ171" t="s">
        <v>645</v>
      </c>
      <c r="BR171" t="s">
        <v>97</v>
      </c>
      <c r="BS171" s="3">
        <v>45932</v>
      </c>
      <c r="BT171" s="4">
        <v>0.60416666666666663</v>
      </c>
      <c r="BU171" t="s">
        <v>646</v>
      </c>
      <c r="BV171" t="s">
        <v>86</v>
      </c>
      <c r="BY171">
        <v>15360</v>
      </c>
      <c r="BZ171" t="s">
        <v>87</v>
      </c>
      <c r="CC171" t="s">
        <v>643</v>
      </c>
      <c r="CD171">
        <v>5850</v>
      </c>
      <c r="CE171" t="s">
        <v>101</v>
      </c>
      <c r="CF171" s="3">
        <v>45936</v>
      </c>
      <c r="CI171">
        <v>2</v>
      </c>
      <c r="CJ171">
        <v>1</v>
      </c>
      <c r="CK171">
        <v>23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"080068248723"</f>
        <v>080068248723</v>
      </c>
      <c r="F172" s="3">
        <v>45931</v>
      </c>
      <c r="G172">
        <v>202607</v>
      </c>
      <c r="H172" t="s">
        <v>79</v>
      </c>
      <c r="I172" t="s">
        <v>80</v>
      </c>
      <c r="J172" t="s">
        <v>91</v>
      </c>
      <c r="K172" t="s">
        <v>78</v>
      </c>
      <c r="L172" t="s">
        <v>121</v>
      </c>
      <c r="M172" t="s">
        <v>122</v>
      </c>
      <c r="N172" t="s">
        <v>154</v>
      </c>
      <c r="O172" t="s">
        <v>82</v>
      </c>
      <c r="P172" t="str">
        <f>"4170062586                    "</f>
        <v xml:space="preserve">4170062586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22.36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70.959999999999994</v>
      </c>
      <c r="BM172">
        <v>10.64</v>
      </c>
      <c r="BN172">
        <v>81.599999999999994</v>
      </c>
      <c r="BO172">
        <v>81.599999999999994</v>
      </c>
      <c r="BQ172" t="s">
        <v>155</v>
      </c>
      <c r="BR172" t="s">
        <v>97</v>
      </c>
      <c r="BS172" s="3">
        <v>45932</v>
      </c>
      <c r="BT172" s="4">
        <v>0.35416666666666669</v>
      </c>
      <c r="BU172" t="s">
        <v>647</v>
      </c>
      <c r="BV172" t="s">
        <v>86</v>
      </c>
      <c r="BY172">
        <v>1200</v>
      </c>
      <c r="BZ172" t="s">
        <v>87</v>
      </c>
      <c r="CA172" t="s">
        <v>311</v>
      </c>
      <c r="CC172" t="s">
        <v>122</v>
      </c>
      <c r="CD172">
        <v>4052</v>
      </c>
      <c r="CE172" t="s">
        <v>120</v>
      </c>
      <c r="CF172" s="3">
        <v>45932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"080068248821"</f>
        <v>080068248821</v>
      </c>
      <c r="F173" s="3">
        <v>45931</v>
      </c>
      <c r="G173">
        <v>202607</v>
      </c>
      <c r="H173" t="s">
        <v>79</v>
      </c>
      <c r="I173" t="s">
        <v>80</v>
      </c>
      <c r="J173" t="s">
        <v>91</v>
      </c>
      <c r="K173" t="s">
        <v>78</v>
      </c>
      <c r="L173" t="s">
        <v>121</v>
      </c>
      <c r="M173" t="s">
        <v>122</v>
      </c>
      <c r="N173" t="s">
        <v>648</v>
      </c>
      <c r="O173" t="s">
        <v>82</v>
      </c>
      <c r="P173" t="str">
        <f>"4170062540                    "</f>
        <v xml:space="preserve">4170062540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22.36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70.959999999999994</v>
      </c>
      <c r="BM173">
        <v>10.64</v>
      </c>
      <c r="BN173">
        <v>81.599999999999994</v>
      </c>
      <c r="BO173">
        <v>81.599999999999994</v>
      </c>
      <c r="BQ173" t="s">
        <v>649</v>
      </c>
      <c r="BR173" t="s">
        <v>97</v>
      </c>
      <c r="BS173" s="3">
        <v>45932</v>
      </c>
      <c r="BT173" s="4">
        <v>0.41875000000000001</v>
      </c>
      <c r="BU173" t="s">
        <v>650</v>
      </c>
      <c r="BV173" t="s">
        <v>86</v>
      </c>
      <c r="BY173">
        <v>1200</v>
      </c>
      <c r="BZ173" t="s">
        <v>87</v>
      </c>
      <c r="CA173" t="s">
        <v>651</v>
      </c>
      <c r="CC173" t="s">
        <v>122</v>
      </c>
      <c r="CD173">
        <v>4060</v>
      </c>
      <c r="CE173" t="s">
        <v>120</v>
      </c>
      <c r="CF173" s="3">
        <v>45932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"080068248880"</f>
        <v>080068248880</v>
      </c>
      <c r="F174" s="3">
        <v>45931</v>
      </c>
      <c r="G174">
        <v>202607</v>
      </c>
      <c r="H174" t="s">
        <v>79</v>
      </c>
      <c r="I174" t="s">
        <v>80</v>
      </c>
      <c r="J174" t="s">
        <v>91</v>
      </c>
      <c r="K174" t="s">
        <v>78</v>
      </c>
      <c r="L174" t="s">
        <v>223</v>
      </c>
      <c r="M174" t="s">
        <v>224</v>
      </c>
      <c r="N174" t="s">
        <v>652</v>
      </c>
      <c r="O174" t="s">
        <v>226</v>
      </c>
      <c r="P174" t="str">
        <f>"4170062578                    "</f>
        <v xml:space="preserve">4170062578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17.47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4</v>
      </c>
      <c r="BJ174">
        <v>6.9</v>
      </c>
      <c r="BK174">
        <v>7</v>
      </c>
      <c r="BL174">
        <v>55.44</v>
      </c>
      <c r="BM174">
        <v>8.32</v>
      </c>
      <c r="BN174">
        <v>63.76</v>
      </c>
      <c r="BO174">
        <v>63.76</v>
      </c>
      <c r="BQ174" t="s">
        <v>653</v>
      </c>
      <c r="BR174" t="s">
        <v>97</v>
      </c>
      <c r="BS174" s="3">
        <v>45932</v>
      </c>
      <c r="BT174" s="4">
        <v>0.61458333333333337</v>
      </c>
      <c r="BU174" t="s">
        <v>654</v>
      </c>
      <c r="BV174" t="s">
        <v>86</v>
      </c>
      <c r="BY174">
        <v>34496</v>
      </c>
      <c r="BZ174" t="s">
        <v>99</v>
      </c>
      <c r="CA174" t="s">
        <v>508</v>
      </c>
      <c r="CC174" t="s">
        <v>224</v>
      </c>
      <c r="CD174">
        <v>1460</v>
      </c>
      <c r="CE174" t="s">
        <v>101</v>
      </c>
      <c r="CF174" s="3">
        <v>45932</v>
      </c>
      <c r="CI174">
        <v>1</v>
      </c>
      <c r="CJ174">
        <v>1</v>
      </c>
      <c r="CK174">
        <v>32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"080068248917"</f>
        <v>080068248917</v>
      </c>
      <c r="F175" s="3">
        <v>45931</v>
      </c>
      <c r="G175">
        <v>202607</v>
      </c>
      <c r="H175" t="s">
        <v>79</v>
      </c>
      <c r="I175" t="s">
        <v>80</v>
      </c>
      <c r="J175" t="s">
        <v>91</v>
      </c>
      <c r="K175" t="s">
        <v>78</v>
      </c>
      <c r="L175" t="s">
        <v>102</v>
      </c>
      <c r="M175" t="s">
        <v>103</v>
      </c>
      <c r="N175" t="s">
        <v>335</v>
      </c>
      <c r="O175" t="s">
        <v>95</v>
      </c>
      <c r="P175" t="str">
        <f>"4170062573                    "</f>
        <v xml:space="preserve">4170062573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46.04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28</v>
      </c>
      <c r="BJ175">
        <v>10.3</v>
      </c>
      <c r="BK175">
        <v>28</v>
      </c>
      <c r="BL175">
        <v>151.99</v>
      </c>
      <c r="BM175">
        <v>22.8</v>
      </c>
      <c r="BN175">
        <v>174.79</v>
      </c>
      <c r="BO175">
        <v>174.79</v>
      </c>
      <c r="BQ175" t="s">
        <v>475</v>
      </c>
      <c r="BR175" t="s">
        <v>97</v>
      </c>
      <c r="BS175" s="3">
        <v>45932</v>
      </c>
      <c r="BT175" s="4">
        <v>0.34583333333333333</v>
      </c>
      <c r="BU175" t="s">
        <v>655</v>
      </c>
      <c r="BV175" t="s">
        <v>86</v>
      </c>
      <c r="BY175">
        <v>51480</v>
      </c>
      <c r="BZ175" t="s">
        <v>99</v>
      </c>
      <c r="CC175" t="s">
        <v>103</v>
      </c>
      <c r="CD175">
        <v>1451</v>
      </c>
      <c r="CE175" t="s">
        <v>101</v>
      </c>
      <c r="CF175" s="3">
        <v>45933</v>
      </c>
      <c r="CI175">
        <v>1</v>
      </c>
      <c r="CJ175">
        <v>1</v>
      </c>
      <c r="CK175">
        <v>42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"080068248948"</f>
        <v>080068248948</v>
      </c>
      <c r="F176" s="3">
        <v>45931</v>
      </c>
      <c r="G176">
        <v>202607</v>
      </c>
      <c r="H176" t="s">
        <v>79</v>
      </c>
      <c r="I176" t="s">
        <v>80</v>
      </c>
      <c r="J176" t="s">
        <v>91</v>
      </c>
      <c r="K176" t="s">
        <v>78</v>
      </c>
      <c r="L176" t="s">
        <v>168</v>
      </c>
      <c r="M176" t="s">
        <v>169</v>
      </c>
      <c r="N176" t="s">
        <v>395</v>
      </c>
      <c r="O176" t="s">
        <v>95</v>
      </c>
      <c r="P176" t="str">
        <f>"4170062572                    "</f>
        <v xml:space="preserve">4170062572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43.23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8</v>
      </c>
      <c r="BJ176">
        <v>7.5</v>
      </c>
      <c r="BK176">
        <v>8</v>
      </c>
      <c r="BL176">
        <v>143.08000000000001</v>
      </c>
      <c r="BM176">
        <v>21.46</v>
      </c>
      <c r="BN176">
        <v>164.54</v>
      </c>
      <c r="BO176">
        <v>164.54</v>
      </c>
      <c r="BQ176" t="s">
        <v>396</v>
      </c>
      <c r="BR176" t="s">
        <v>97</v>
      </c>
      <c r="BS176" s="3">
        <v>45932</v>
      </c>
      <c r="BT176" s="4">
        <v>0.60138888888888886</v>
      </c>
      <c r="BU176" t="s">
        <v>397</v>
      </c>
      <c r="BV176" t="s">
        <v>86</v>
      </c>
      <c r="BY176">
        <v>37488</v>
      </c>
      <c r="BZ176" t="s">
        <v>99</v>
      </c>
      <c r="CA176" t="s">
        <v>216</v>
      </c>
      <c r="CC176" t="s">
        <v>169</v>
      </c>
      <c r="CD176" s="5" t="s">
        <v>190</v>
      </c>
      <c r="CE176" t="s">
        <v>101</v>
      </c>
      <c r="CF176" s="3">
        <v>45932</v>
      </c>
      <c r="CI176">
        <v>1</v>
      </c>
      <c r="CJ176">
        <v>1</v>
      </c>
      <c r="CK176">
        <v>41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"080068248968"</f>
        <v>080068248968</v>
      </c>
      <c r="F177" s="3">
        <v>45931</v>
      </c>
      <c r="G177">
        <v>202607</v>
      </c>
      <c r="H177" t="s">
        <v>79</v>
      </c>
      <c r="I177" t="s">
        <v>80</v>
      </c>
      <c r="J177" t="s">
        <v>91</v>
      </c>
      <c r="K177" t="s">
        <v>78</v>
      </c>
      <c r="L177" t="s">
        <v>206</v>
      </c>
      <c r="M177" t="s">
        <v>207</v>
      </c>
      <c r="N177" t="s">
        <v>656</v>
      </c>
      <c r="O177" t="s">
        <v>82</v>
      </c>
      <c r="P177" t="str">
        <f>"4170062597                    "</f>
        <v xml:space="preserve">4170062597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39.11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3.1</v>
      </c>
      <c r="BK177">
        <v>3.5</v>
      </c>
      <c r="BL177">
        <v>124.13</v>
      </c>
      <c r="BM177">
        <v>18.62</v>
      </c>
      <c r="BN177">
        <v>142.75</v>
      </c>
      <c r="BO177">
        <v>142.75</v>
      </c>
      <c r="BQ177" t="s">
        <v>657</v>
      </c>
      <c r="BR177" t="s">
        <v>97</v>
      </c>
      <c r="BS177" s="3">
        <v>45932</v>
      </c>
      <c r="BT177" s="4">
        <v>0.40694444444444444</v>
      </c>
      <c r="BU177" t="s">
        <v>658</v>
      </c>
      <c r="BV177" t="s">
        <v>86</v>
      </c>
      <c r="BY177">
        <v>15360</v>
      </c>
      <c r="BZ177" t="s">
        <v>87</v>
      </c>
      <c r="CA177" t="s">
        <v>211</v>
      </c>
      <c r="CC177" t="s">
        <v>207</v>
      </c>
      <c r="CD177">
        <v>7441</v>
      </c>
      <c r="CE177" t="s">
        <v>101</v>
      </c>
      <c r="CF177" s="3">
        <v>45933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"080068249155"</f>
        <v>080068249155</v>
      </c>
      <c r="F178" s="3">
        <v>45931</v>
      </c>
      <c r="G178">
        <v>202607</v>
      </c>
      <c r="H178" t="s">
        <v>79</v>
      </c>
      <c r="I178" t="s">
        <v>80</v>
      </c>
      <c r="J178" t="s">
        <v>91</v>
      </c>
      <c r="K178" t="s">
        <v>78</v>
      </c>
      <c r="L178" t="s">
        <v>168</v>
      </c>
      <c r="M178" t="s">
        <v>169</v>
      </c>
      <c r="N178" t="s">
        <v>584</v>
      </c>
      <c r="O178" t="s">
        <v>95</v>
      </c>
      <c r="P178" t="str">
        <f>"4170062585                    "</f>
        <v xml:space="preserve">4170062585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43.23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5.7</v>
      </c>
      <c r="BK178">
        <v>6</v>
      </c>
      <c r="BL178">
        <v>143.08000000000001</v>
      </c>
      <c r="BM178">
        <v>21.46</v>
      </c>
      <c r="BN178">
        <v>164.54</v>
      </c>
      <c r="BO178">
        <v>164.54</v>
      </c>
      <c r="BQ178" t="s">
        <v>585</v>
      </c>
      <c r="BR178" t="s">
        <v>97</v>
      </c>
      <c r="BS178" s="3">
        <v>45932</v>
      </c>
      <c r="BT178" s="4">
        <v>0.68888888888888888</v>
      </c>
      <c r="BU178" t="s">
        <v>586</v>
      </c>
      <c r="BV178" t="s">
        <v>86</v>
      </c>
      <c r="BY178">
        <v>28275</v>
      </c>
      <c r="BZ178" t="s">
        <v>99</v>
      </c>
      <c r="CA178" t="s">
        <v>146</v>
      </c>
      <c r="CC178" t="s">
        <v>169</v>
      </c>
      <c r="CD178" s="5" t="s">
        <v>190</v>
      </c>
      <c r="CE178" t="s">
        <v>101</v>
      </c>
      <c r="CF178" s="3">
        <v>45932</v>
      </c>
      <c r="CI178">
        <v>1</v>
      </c>
      <c r="CJ178">
        <v>1</v>
      </c>
      <c r="CK178">
        <v>41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"080068249189"</f>
        <v>080068249189</v>
      </c>
      <c r="F179" s="3">
        <v>45931</v>
      </c>
      <c r="G179">
        <v>202607</v>
      </c>
      <c r="H179" t="s">
        <v>79</v>
      </c>
      <c r="I179" t="s">
        <v>80</v>
      </c>
      <c r="J179" t="s">
        <v>91</v>
      </c>
      <c r="K179" t="s">
        <v>78</v>
      </c>
      <c r="L179" t="s">
        <v>246</v>
      </c>
      <c r="M179" t="s">
        <v>247</v>
      </c>
      <c r="N179" t="s">
        <v>248</v>
      </c>
      <c r="O179" t="s">
        <v>95</v>
      </c>
      <c r="P179" t="str">
        <f>"4170062593                    "</f>
        <v xml:space="preserve">4170062593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60.97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16.739999999999998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4</v>
      </c>
      <c r="BJ179">
        <v>4.5</v>
      </c>
      <c r="BK179">
        <v>5</v>
      </c>
      <c r="BL179">
        <v>216.13</v>
      </c>
      <c r="BM179">
        <v>32.42</v>
      </c>
      <c r="BN179">
        <v>248.55</v>
      </c>
      <c r="BO179">
        <v>248.55</v>
      </c>
      <c r="BQ179" t="s">
        <v>249</v>
      </c>
      <c r="BR179" t="s">
        <v>97</v>
      </c>
      <c r="BS179" s="3">
        <v>45932</v>
      </c>
      <c r="BT179" s="4">
        <v>0.53125</v>
      </c>
      <c r="BU179" t="s">
        <v>659</v>
      </c>
      <c r="BV179" t="s">
        <v>86</v>
      </c>
      <c r="BY179">
        <v>22620</v>
      </c>
      <c r="BZ179" t="s">
        <v>500</v>
      </c>
      <c r="CC179" t="s">
        <v>247</v>
      </c>
      <c r="CD179" s="5" t="s">
        <v>252</v>
      </c>
      <c r="CE179" t="s">
        <v>101</v>
      </c>
      <c r="CF179" s="3">
        <v>45933</v>
      </c>
      <c r="CI179">
        <v>1</v>
      </c>
      <c r="CJ179">
        <v>1</v>
      </c>
      <c r="CK179">
        <v>43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"080068249225"</f>
        <v>080068249225</v>
      </c>
      <c r="F180" s="3">
        <v>45931</v>
      </c>
      <c r="G180">
        <v>202607</v>
      </c>
      <c r="H180" t="s">
        <v>79</v>
      </c>
      <c r="I180" t="s">
        <v>80</v>
      </c>
      <c r="J180" t="s">
        <v>91</v>
      </c>
      <c r="K180" t="s">
        <v>78</v>
      </c>
      <c r="L180" t="s">
        <v>271</v>
      </c>
      <c r="M180" t="s">
        <v>272</v>
      </c>
      <c r="N180" t="s">
        <v>443</v>
      </c>
      <c r="O180" t="s">
        <v>82</v>
      </c>
      <c r="P180" t="str">
        <f>"4170062548                    "</f>
        <v xml:space="preserve">4170062548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17.46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55.42</v>
      </c>
      <c r="BM180">
        <v>8.31</v>
      </c>
      <c r="BN180">
        <v>63.73</v>
      </c>
      <c r="BO180">
        <v>63.73</v>
      </c>
      <c r="BQ180" t="s">
        <v>444</v>
      </c>
      <c r="BR180" t="s">
        <v>97</v>
      </c>
      <c r="BS180" s="3">
        <v>45932</v>
      </c>
      <c r="BT180" s="4">
        <v>0.35416666666666669</v>
      </c>
      <c r="BU180" t="s">
        <v>660</v>
      </c>
      <c r="BV180" t="s">
        <v>86</v>
      </c>
      <c r="BY180">
        <v>1200</v>
      </c>
      <c r="BZ180" t="s">
        <v>87</v>
      </c>
      <c r="CA180" t="s">
        <v>661</v>
      </c>
      <c r="CC180" t="s">
        <v>272</v>
      </c>
      <c r="CD180">
        <v>1428</v>
      </c>
      <c r="CE180" t="s">
        <v>120</v>
      </c>
      <c r="CF180" s="3">
        <v>45933</v>
      </c>
      <c r="CI180">
        <v>1</v>
      </c>
      <c r="CJ180">
        <v>1</v>
      </c>
      <c r="CK180">
        <v>22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"080068249243"</f>
        <v>080068249243</v>
      </c>
      <c r="F181" s="3">
        <v>45931</v>
      </c>
      <c r="G181">
        <v>202607</v>
      </c>
      <c r="H181" t="s">
        <v>79</v>
      </c>
      <c r="I181" t="s">
        <v>80</v>
      </c>
      <c r="J181" t="s">
        <v>91</v>
      </c>
      <c r="K181" t="s">
        <v>78</v>
      </c>
      <c r="L181" t="s">
        <v>453</v>
      </c>
      <c r="M181" t="s">
        <v>454</v>
      </c>
      <c r="N181" t="s">
        <v>639</v>
      </c>
      <c r="O181" t="s">
        <v>82</v>
      </c>
      <c r="P181" t="str">
        <f>"4170062599                    "</f>
        <v xml:space="preserve">4170062599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78.2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2</v>
      </c>
      <c r="BI181">
        <v>4</v>
      </c>
      <c r="BJ181">
        <v>6.7</v>
      </c>
      <c r="BK181">
        <v>7</v>
      </c>
      <c r="BL181">
        <v>248.2</v>
      </c>
      <c r="BM181">
        <v>37.229999999999997</v>
      </c>
      <c r="BN181">
        <v>285.43</v>
      </c>
      <c r="BO181">
        <v>285.43</v>
      </c>
      <c r="BQ181" t="s">
        <v>640</v>
      </c>
      <c r="BR181" t="s">
        <v>97</v>
      </c>
      <c r="BS181" s="3">
        <v>45932</v>
      </c>
      <c r="BT181" s="4">
        <v>0.42152777777777778</v>
      </c>
      <c r="BU181" t="s">
        <v>641</v>
      </c>
      <c r="BV181" t="s">
        <v>86</v>
      </c>
      <c r="BY181">
        <v>33664</v>
      </c>
      <c r="BZ181" t="s">
        <v>87</v>
      </c>
      <c r="CA181" t="s">
        <v>457</v>
      </c>
      <c r="CC181" t="s">
        <v>454</v>
      </c>
      <c r="CD181">
        <v>3610</v>
      </c>
      <c r="CE181" t="s">
        <v>101</v>
      </c>
      <c r="CF181" s="3">
        <v>45932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"080068249249"</f>
        <v>080068249249</v>
      </c>
      <c r="F182" s="3">
        <v>45931</v>
      </c>
      <c r="G182">
        <v>202607</v>
      </c>
      <c r="H182" t="s">
        <v>79</v>
      </c>
      <c r="I182" t="s">
        <v>80</v>
      </c>
      <c r="J182" t="s">
        <v>91</v>
      </c>
      <c r="K182" t="s">
        <v>78</v>
      </c>
      <c r="L182" t="s">
        <v>92</v>
      </c>
      <c r="M182" t="s">
        <v>93</v>
      </c>
      <c r="N182" t="s">
        <v>662</v>
      </c>
      <c r="O182" t="s">
        <v>82</v>
      </c>
      <c r="P182" t="str">
        <f>"4170062506                    "</f>
        <v xml:space="preserve">4170062506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22.36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70.959999999999994</v>
      </c>
      <c r="BM182">
        <v>10.64</v>
      </c>
      <c r="BN182">
        <v>81.599999999999994</v>
      </c>
      <c r="BO182">
        <v>81.599999999999994</v>
      </c>
      <c r="BQ182" t="s">
        <v>663</v>
      </c>
      <c r="BR182" t="s">
        <v>97</v>
      </c>
      <c r="BS182" s="3">
        <v>45932</v>
      </c>
      <c r="BT182" s="4">
        <v>0.61944444444444446</v>
      </c>
      <c r="BU182" t="s">
        <v>664</v>
      </c>
      <c r="BV182" t="s">
        <v>86</v>
      </c>
      <c r="BY182">
        <v>1200</v>
      </c>
      <c r="BZ182" t="s">
        <v>87</v>
      </c>
      <c r="CA182" t="s">
        <v>100</v>
      </c>
      <c r="CC182" t="s">
        <v>93</v>
      </c>
      <c r="CD182">
        <v>3201</v>
      </c>
      <c r="CE182" t="s">
        <v>120</v>
      </c>
      <c r="CF182" s="3">
        <v>45932</v>
      </c>
      <c r="CI182">
        <v>5</v>
      </c>
      <c r="CJ182">
        <v>1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"080068249275"</f>
        <v>080068249275</v>
      </c>
      <c r="F183" s="3">
        <v>45931</v>
      </c>
      <c r="G183">
        <v>202607</v>
      </c>
      <c r="H183" t="s">
        <v>79</v>
      </c>
      <c r="I183" t="s">
        <v>80</v>
      </c>
      <c r="J183" t="s">
        <v>91</v>
      </c>
      <c r="K183" t="s">
        <v>78</v>
      </c>
      <c r="L183" t="s">
        <v>453</v>
      </c>
      <c r="M183" t="s">
        <v>454</v>
      </c>
      <c r="N183" t="s">
        <v>665</v>
      </c>
      <c r="O183" t="s">
        <v>82</v>
      </c>
      <c r="P183" t="str">
        <f>"4170062550                    "</f>
        <v xml:space="preserve">4170062550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39.11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3</v>
      </c>
      <c r="BJ183">
        <v>3.4</v>
      </c>
      <c r="BK183">
        <v>3.5</v>
      </c>
      <c r="BL183">
        <v>124.13</v>
      </c>
      <c r="BM183">
        <v>18.62</v>
      </c>
      <c r="BN183">
        <v>142.75</v>
      </c>
      <c r="BO183">
        <v>142.75</v>
      </c>
      <c r="BQ183" t="s">
        <v>666</v>
      </c>
      <c r="BR183" t="s">
        <v>97</v>
      </c>
      <c r="BS183" s="3">
        <v>45932</v>
      </c>
      <c r="BT183" s="4">
        <v>0.5</v>
      </c>
      <c r="BU183" t="s">
        <v>667</v>
      </c>
      <c r="BV183" t="s">
        <v>86</v>
      </c>
      <c r="BY183">
        <v>16965</v>
      </c>
      <c r="BZ183" t="s">
        <v>87</v>
      </c>
      <c r="CA183" t="s">
        <v>138</v>
      </c>
      <c r="CC183" t="s">
        <v>454</v>
      </c>
      <c r="CD183">
        <v>3610</v>
      </c>
      <c r="CE183" t="s">
        <v>101</v>
      </c>
      <c r="CF183" s="3">
        <v>45933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"080068249308"</f>
        <v>080068249308</v>
      </c>
      <c r="F184" s="3">
        <v>45931</v>
      </c>
      <c r="G184">
        <v>202607</v>
      </c>
      <c r="H184" t="s">
        <v>79</v>
      </c>
      <c r="I184" t="s">
        <v>80</v>
      </c>
      <c r="J184" t="s">
        <v>91</v>
      </c>
      <c r="K184" t="s">
        <v>78</v>
      </c>
      <c r="L184" t="s">
        <v>79</v>
      </c>
      <c r="M184" t="s">
        <v>80</v>
      </c>
      <c r="N184" t="s">
        <v>357</v>
      </c>
      <c r="O184" t="s">
        <v>82</v>
      </c>
      <c r="P184" t="str">
        <f>"4170062596                    "</f>
        <v xml:space="preserve">4170062596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17.46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1.3</v>
      </c>
      <c r="BK184">
        <v>2</v>
      </c>
      <c r="BL184">
        <v>55.42</v>
      </c>
      <c r="BM184">
        <v>8.31</v>
      </c>
      <c r="BN184">
        <v>63.73</v>
      </c>
      <c r="BO184">
        <v>63.73</v>
      </c>
      <c r="BQ184" t="s">
        <v>358</v>
      </c>
      <c r="BR184" t="s">
        <v>97</v>
      </c>
      <c r="BS184" s="3">
        <v>45932</v>
      </c>
      <c r="BT184" s="4">
        <v>0.3972222222222222</v>
      </c>
      <c r="BU184" t="s">
        <v>359</v>
      </c>
      <c r="BV184" t="s">
        <v>86</v>
      </c>
      <c r="BY184">
        <v>6384</v>
      </c>
      <c r="BZ184" t="s">
        <v>87</v>
      </c>
      <c r="CA184" t="s">
        <v>360</v>
      </c>
      <c r="CC184" t="s">
        <v>80</v>
      </c>
      <c r="CD184">
        <v>1645</v>
      </c>
      <c r="CE184" t="s">
        <v>101</v>
      </c>
      <c r="CF184" s="3">
        <v>45933</v>
      </c>
      <c r="CI184">
        <v>1</v>
      </c>
      <c r="CJ184">
        <v>1</v>
      </c>
      <c r="CK184">
        <v>22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"080068249400"</f>
        <v>080068249400</v>
      </c>
      <c r="F185" s="3">
        <v>45931</v>
      </c>
      <c r="G185">
        <v>202607</v>
      </c>
      <c r="H185" t="s">
        <v>79</v>
      </c>
      <c r="I185" t="s">
        <v>80</v>
      </c>
      <c r="J185" t="s">
        <v>91</v>
      </c>
      <c r="K185" t="s">
        <v>78</v>
      </c>
      <c r="L185" t="s">
        <v>668</v>
      </c>
      <c r="M185" t="s">
        <v>669</v>
      </c>
      <c r="N185" t="s">
        <v>670</v>
      </c>
      <c r="O185" t="s">
        <v>82</v>
      </c>
      <c r="P185" t="str">
        <f>"4170062598                    "</f>
        <v xml:space="preserve">4170062598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17.46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4.0999999999999996</v>
      </c>
      <c r="BK185">
        <v>5</v>
      </c>
      <c r="BL185">
        <v>55.42</v>
      </c>
      <c r="BM185">
        <v>8.31</v>
      </c>
      <c r="BN185">
        <v>63.73</v>
      </c>
      <c r="BO185">
        <v>63.73</v>
      </c>
      <c r="BQ185" t="s">
        <v>671</v>
      </c>
      <c r="BR185" t="s">
        <v>97</v>
      </c>
      <c r="BS185" s="3">
        <v>45932</v>
      </c>
      <c r="BT185" s="4">
        <v>0.42638888888888887</v>
      </c>
      <c r="BU185" t="s">
        <v>672</v>
      </c>
      <c r="BV185" t="s">
        <v>86</v>
      </c>
      <c r="BY185">
        <v>20358</v>
      </c>
      <c r="BZ185" t="s">
        <v>87</v>
      </c>
      <c r="CA185" t="s">
        <v>673</v>
      </c>
      <c r="CC185" t="s">
        <v>669</v>
      </c>
      <c r="CD185">
        <v>1502</v>
      </c>
      <c r="CE185" t="s">
        <v>101</v>
      </c>
      <c r="CF185" s="3">
        <v>45933</v>
      </c>
      <c r="CI185">
        <v>1</v>
      </c>
      <c r="CJ185">
        <v>1</v>
      </c>
      <c r="CK185">
        <v>22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"080068249399"</f>
        <v>080068249399</v>
      </c>
      <c r="F186" s="3">
        <v>45931</v>
      </c>
      <c r="G186">
        <v>202607</v>
      </c>
      <c r="H186" t="s">
        <v>79</v>
      </c>
      <c r="I186" t="s">
        <v>80</v>
      </c>
      <c r="J186" t="s">
        <v>91</v>
      </c>
      <c r="K186" t="s">
        <v>78</v>
      </c>
      <c r="L186" t="s">
        <v>300</v>
      </c>
      <c r="M186" t="s">
        <v>301</v>
      </c>
      <c r="N186" t="s">
        <v>674</v>
      </c>
      <c r="O186" t="s">
        <v>226</v>
      </c>
      <c r="P186" t="str">
        <f>"4170062505                    "</f>
        <v xml:space="preserve">4170062505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50.31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16.739999999999998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2</v>
      </c>
      <c r="BJ186">
        <v>2.8</v>
      </c>
      <c r="BK186">
        <v>3</v>
      </c>
      <c r="BL186">
        <v>176.42</v>
      </c>
      <c r="BM186">
        <v>26.46</v>
      </c>
      <c r="BN186">
        <v>202.88</v>
      </c>
      <c r="BO186">
        <v>202.88</v>
      </c>
      <c r="BQ186" t="s">
        <v>675</v>
      </c>
      <c r="BR186" t="s">
        <v>97</v>
      </c>
      <c r="BS186" s="3">
        <v>45933</v>
      </c>
      <c r="BT186" s="4">
        <v>0.58333333333333337</v>
      </c>
      <c r="BU186" t="s">
        <v>676</v>
      </c>
      <c r="BV186" t="s">
        <v>90</v>
      </c>
      <c r="BW186" t="s">
        <v>188</v>
      </c>
      <c r="BX186" t="s">
        <v>677</v>
      </c>
      <c r="BY186">
        <v>14112</v>
      </c>
      <c r="BZ186" t="s">
        <v>500</v>
      </c>
      <c r="CC186" t="s">
        <v>301</v>
      </c>
      <c r="CD186">
        <v>1723</v>
      </c>
      <c r="CE186" t="s">
        <v>107</v>
      </c>
      <c r="CF186" s="3">
        <v>45936</v>
      </c>
      <c r="CI186">
        <v>1</v>
      </c>
      <c r="CJ186">
        <v>2</v>
      </c>
      <c r="CK186">
        <v>34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"080068249444"</f>
        <v>080068249444</v>
      </c>
      <c r="F187" s="3">
        <v>45931</v>
      </c>
      <c r="G187">
        <v>202607</v>
      </c>
      <c r="H187" t="s">
        <v>79</v>
      </c>
      <c r="I187" t="s">
        <v>80</v>
      </c>
      <c r="J187" t="s">
        <v>91</v>
      </c>
      <c r="K187" t="s">
        <v>78</v>
      </c>
      <c r="L187" t="s">
        <v>206</v>
      </c>
      <c r="M187" t="s">
        <v>207</v>
      </c>
      <c r="N187" t="s">
        <v>656</v>
      </c>
      <c r="O187" t="s">
        <v>82</v>
      </c>
      <c r="P187" t="str">
        <f>"4170062580                    "</f>
        <v xml:space="preserve">4170062580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22.36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1.1000000000000001</v>
      </c>
      <c r="BK187">
        <v>1.5</v>
      </c>
      <c r="BL187">
        <v>70.959999999999994</v>
      </c>
      <c r="BM187">
        <v>10.64</v>
      </c>
      <c r="BN187">
        <v>81.599999999999994</v>
      </c>
      <c r="BO187">
        <v>81.599999999999994</v>
      </c>
      <c r="BQ187" t="s">
        <v>657</v>
      </c>
      <c r="BR187" t="s">
        <v>97</v>
      </c>
      <c r="BS187" s="3">
        <v>45932</v>
      </c>
      <c r="BT187" s="4">
        <v>0.40694444444444444</v>
      </c>
      <c r="BU187" t="s">
        <v>658</v>
      </c>
      <c r="BV187" t="s">
        <v>86</v>
      </c>
      <c r="BY187">
        <v>5320</v>
      </c>
      <c r="BZ187" t="s">
        <v>87</v>
      </c>
      <c r="CA187" t="s">
        <v>211</v>
      </c>
      <c r="CC187" t="s">
        <v>207</v>
      </c>
      <c r="CD187">
        <v>7441</v>
      </c>
      <c r="CE187" t="s">
        <v>101</v>
      </c>
      <c r="CF187" s="3">
        <v>45933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"080068249453"</f>
        <v>080068249453</v>
      </c>
      <c r="F188" s="3">
        <v>45931</v>
      </c>
      <c r="G188">
        <v>202607</v>
      </c>
      <c r="H188" t="s">
        <v>79</v>
      </c>
      <c r="I188" t="s">
        <v>80</v>
      </c>
      <c r="J188" t="s">
        <v>91</v>
      </c>
      <c r="K188" t="s">
        <v>78</v>
      </c>
      <c r="L188" t="s">
        <v>271</v>
      </c>
      <c r="M188" t="s">
        <v>272</v>
      </c>
      <c r="N188" t="s">
        <v>678</v>
      </c>
      <c r="O188" t="s">
        <v>226</v>
      </c>
      <c r="P188" t="str">
        <f>"4170062600                    "</f>
        <v xml:space="preserve">4170062600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17.47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8</v>
      </c>
      <c r="BJ188">
        <v>7.8</v>
      </c>
      <c r="BK188">
        <v>8</v>
      </c>
      <c r="BL188">
        <v>55.44</v>
      </c>
      <c r="BM188">
        <v>8.32</v>
      </c>
      <c r="BN188">
        <v>63.76</v>
      </c>
      <c r="BO188">
        <v>63.76</v>
      </c>
      <c r="BQ188" t="s">
        <v>679</v>
      </c>
      <c r="BR188" t="s">
        <v>97</v>
      </c>
      <c r="BS188" s="3">
        <v>45932</v>
      </c>
      <c r="BT188" s="4">
        <v>0.49305555555555558</v>
      </c>
      <c r="BU188" t="s">
        <v>680</v>
      </c>
      <c r="BV188" t="s">
        <v>86</v>
      </c>
      <c r="BY188">
        <v>39192</v>
      </c>
      <c r="BZ188" t="s">
        <v>99</v>
      </c>
      <c r="CA188" t="s">
        <v>681</v>
      </c>
      <c r="CC188" t="s">
        <v>272</v>
      </c>
      <c r="CD188">
        <v>1401</v>
      </c>
      <c r="CE188" t="s">
        <v>101</v>
      </c>
      <c r="CF188" s="3">
        <v>45932</v>
      </c>
      <c r="CI188">
        <v>1</v>
      </c>
      <c r="CJ188">
        <v>1</v>
      </c>
      <c r="CK188">
        <v>32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"080068249509"</f>
        <v>080068249509</v>
      </c>
      <c r="F189" s="3">
        <v>45931</v>
      </c>
      <c r="G189">
        <v>202607</v>
      </c>
      <c r="H189" t="s">
        <v>79</v>
      </c>
      <c r="I189" t="s">
        <v>80</v>
      </c>
      <c r="J189" t="s">
        <v>91</v>
      </c>
      <c r="K189" t="s">
        <v>78</v>
      </c>
      <c r="L189" t="s">
        <v>322</v>
      </c>
      <c r="M189" t="s">
        <v>322</v>
      </c>
      <c r="N189" t="s">
        <v>483</v>
      </c>
      <c r="O189" t="s">
        <v>82</v>
      </c>
      <c r="P189" t="str">
        <f>"4170062587                    "</f>
        <v xml:space="preserve">4170062587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43.31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137.47</v>
      </c>
      <c r="BM189">
        <v>20.62</v>
      </c>
      <c r="BN189">
        <v>158.09</v>
      </c>
      <c r="BO189">
        <v>158.09</v>
      </c>
      <c r="BQ189" t="s">
        <v>486</v>
      </c>
      <c r="BR189" t="s">
        <v>97</v>
      </c>
      <c r="BS189" s="3">
        <v>45932</v>
      </c>
      <c r="BT189" s="4">
        <v>0.53888888888888886</v>
      </c>
      <c r="BU189" t="s">
        <v>485</v>
      </c>
      <c r="BV189" t="s">
        <v>86</v>
      </c>
      <c r="BY189">
        <v>1200</v>
      </c>
      <c r="BZ189" t="s">
        <v>87</v>
      </c>
      <c r="CA189" t="s">
        <v>326</v>
      </c>
      <c r="CC189" t="s">
        <v>322</v>
      </c>
      <c r="CD189">
        <v>7646</v>
      </c>
      <c r="CE189" t="s">
        <v>120</v>
      </c>
      <c r="CF189" s="3">
        <v>45933</v>
      </c>
      <c r="CI189">
        <v>1</v>
      </c>
      <c r="CJ189">
        <v>1</v>
      </c>
      <c r="CK189">
        <v>23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"080068249569"</f>
        <v>080068249569</v>
      </c>
      <c r="F190" s="3">
        <v>45931</v>
      </c>
      <c r="G190">
        <v>202607</v>
      </c>
      <c r="H190" t="s">
        <v>79</v>
      </c>
      <c r="I190" t="s">
        <v>80</v>
      </c>
      <c r="J190" t="s">
        <v>91</v>
      </c>
      <c r="K190" t="s">
        <v>78</v>
      </c>
      <c r="L190" t="s">
        <v>259</v>
      </c>
      <c r="M190" t="s">
        <v>260</v>
      </c>
      <c r="N190" t="s">
        <v>261</v>
      </c>
      <c r="O190" t="s">
        <v>82</v>
      </c>
      <c r="P190" t="str">
        <f>"4170062584                    "</f>
        <v xml:space="preserve">4170062584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62.87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2.9</v>
      </c>
      <c r="BJ190">
        <v>2</v>
      </c>
      <c r="BK190">
        <v>3</v>
      </c>
      <c r="BL190">
        <v>199.55</v>
      </c>
      <c r="BM190">
        <v>29.93</v>
      </c>
      <c r="BN190">
        <v>229.48</v>
      </c>
      <c r="BO190">
        <v>229.48</v>
      </c>
      <c r="BQ190" t="s">
        <v>262</v>
      </c>
      <c r="BR190" t="s">
        <v>97</v>
      </c>
      <c r="BS190" s="3">
        <v>45932</v>
      </c>
      <c r="BT190" s="4">
        <v>0.61319444444444449</v>
      </c>
      <c r="BU190" t="s">
        <v>263</v>
      </c>
      <c r="BV190" t="s">
        <v>86</v>
      </c>
      <c r="BY190">
        <v>10243.200000000001</v>
      </c>
      <c r="BZ190" t="s">
        <v>87</v>
      </c>
      <c r="CA190" t="s">
        <v>264</v>
      </c>
      <c r="CC190" t="s">
        <v>260</v>
      </c>
      <c r="CD190">
        <v>2380</v>
      </c>
      <c r="CE190" t="s">
        <v>101</v>
      </c>
      <c r="CF190" s="3">
        <v>45933</v>
      </c>
      <c r="CI190">
        <v>1</v>
      </c>
      <c r="CJ190">
        <v>1</v>
      </c>
      <c r="CK190">
        <v>23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"080068249572"</f>
        <v>080068249572</v>
      </c>
      <c r="F191" s="3">
        <v>45931</v>
      </c>
      <c r="G191">
        <v>202607</v>
      </c>
      <c r="H191" t="s">
        <v>79</v>
      </c>
      <c r="I191" t="s">
        <v>80</v>
      </c>
      <c r="J191" t="s">
        <v>91</v>
      </c>
      <c r="K191" t="s">
        <v>78</v>
      </c>
      <c r="L191" t="s">
        <v>218</v>
      </c>
      <c r="M191" t="s">
        <v>219</v>
      </c>
      <c r="N191" t="s">
        <v>682</v>
      </c>
      <c r="O191" t="s">
        <v>226</v>
      </c>
      <c r="P191" t="str">
        <f>"4170062601                    "</f>
        <v xml:space="preserve">4170062601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17.47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3.4</v>
      </c>
      <c r="BK191">
        <v>4</v>
      </c>
      <c r="BL191">
        <v>55.44</v>
      </c>
      <c r="BM191">
        <v>8.32</v>
      </c>
      <c r="BN191">
        <v>63.76</v>
      </c>
      <c r="BO191">
        <v>63.76</v>
      </c>
      <c r="BQ191" t="s">
        <v>683</v>
      </c>
      <c r="BR191" t="s">
        <v>97</v>
      </c>
      <c r="BS191" s="3">
        <v>45932</v>
      </c>
      <c r="BT191" s="4">
        <v>0.32083333333333336</v>
      </c>
      <c r="BU191" t="s">
        <v>684</v>
      </c>
      <c r="BV191" t="s">
        <v>86</v>
      </c>
      <c r="BY191">
        <v>16965</v>
      </c>
      <c r="BZ191" t="s">
        <v>99</v>
      </c>
      <c r="CC191" t="s">
        <v>219</v>
      </c>
      <c r="CD191">
        <v>1559</v>
      </c>
      <c r="CE191" t="s">
        <v>101</v>
      </c>
      <c r="CF191" s="3">
        <v>45932</v>
      </c>
      <c r="CI191">
        <v>1</v>
      </c>
      <c r="CJ191">
        <v>1</v>
      </c>
      <c r="CK191">
        <v>32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"080068249589"</f>
        <v>080068249589</v>
      </c>
      <c r="F192" s="3">
        <v>45931</v>
      </c>
      <c r="G192">
        <v>202607</v>
      </c>
      <c r="H192" t="s">
        <v>79</v>
      </c>
      <c r="I192" t="s">
        <v>80</v>
      </c>
      <c r="J192" t="s">
        <v>91</v>
      </c>
      <c r="K192" t="s">
        <v>78</v>
      </c>
      <c r="L192" t="s">
        <v>79</v>
      </c>
      <c r="M192" t="s">
        <v>80</v>
      </c>
      <c r="N192" t="s">
        <v>163</v>
      </c>
      <c r="O192" t="s">
        <v>82</v>
      </c>
      <c r="P192" t="str">
        <f>"4170062109                    "</f>
        <v xml:space="preserve">4170062109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17.46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0.6</v>
      </c>
      <c r="BK192">
        <v>1</v>
      </c>
      <c r="BL192">
        <v>55.42</v>
      </c>
      <c r="BM192">
        <v>8.31</v>
      </c>
      <c r="BN192">
        <v>63.73</v>
      </c>
      <c r="BO192">
        <v>63.73</v>
      </c>
      <c r="BQ192" t="s">
        <v>164</v>
      </c>
      <c r="BR192" t="s">
        <v>97</v>
      </c>
      <c r="BS192" s="3">
        <v>45932</v>
      </c>
      <c r="BT192" s="4">
        <v>0.38055555555555554</v>
      </c>
      <c r="BU192" t="s">
        <v>165</v>
      </c>
      <c r="BV192" t="s">
        <v>86</v>
      </c>
      <c r="BY192">
        <v>3192</v>
      </c>
      <c r="BZ192" t="s">
        <v>87</v>
      </c>
      <c r="CA192" t="s">
        <v>166</v>
      </c>
      <c r="CC192" t="s">
        <v>80</v>
      </c>
      <c r="CD192">
        <v>1600</v>
      </c>
      <c r="CE192" t="s">
        <v>101</v>
      </c>
      <c r="CF192" s="3">
        <v>45933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"080068249594"</f>
        <v>080068249594</v>
      </c>
      <c r="F193" s="3">
        <v>45931</v>
      </c>
      <c r="G193">
        <v>202607</v>
      </c>
      <c r="H193" t="s">
        <v>79</v>
      </c>
      <c r="I193" t="s">
        <v>80</v>
      </c>
      <c r="J193" t="s">
        <v>91</v>
      </c>
      <c r="K193" t="s">
        <v>78</v>
      </c>
      <c r="L193" t="s">
        <v>218</v>
      </c>
      <c r="M193" t="s">
        <v>219</v>
      </c>
      <c r="N193" t="s">
        <v>220</v>
      </c>
      <c r="O193" t="s">
        <v>82</v>
      </c>
      <c r="P193" t="str">
        <f>"4170062579                    "</f>
        <v xml:space="preserve">4170062579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17.46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3</v>
      </c>
      <c r="BJ193">
        <v>4.0999999999999996</v>
      </c>
      <c r="BK193">
        <v>5</v>
      </c>
      <c r="BL193">
        <v>55.42</v>
      </c>
      <c r="BM193">
        <v>8.31</v>
      </c>
      <c r="BN193">
        <v>63.73</v>
      </c>
      <c r="BO193">
        <v>63.73</v>
      </c>
      <c r="BQ193" t="s">
        <v>221</v>
      </c>
      <c r="BR193" t="s">
        <v>97</v>
      </c>
      <c r="BS193" s="3">
        <v>45932</v>
      </c>
      <c r="BT193" s="4">
        <v>0.35138888888888886</v>
      </c>
      <c r="BU193" t="s">
        <v>222</v>
      </c>
      <c r="BV193" t="s">
        <v>86</v>
      </c>
      <c r="BY193">
        <v>20358</v>
      </c>
      <c r="BZ193" t="s">
        <v>87</v>
      </c>
      <c r="CC193" t="s">
        <v>219</v>
      </c>
      <c r="CD193">
        <v>1559</v>
      </c>
      <c r="CE193" t="s">
        <v>101</v>
      </c>
      <c r="CF193" s="3">
        <v>45932</v>
      </c>
      <c r="CI193">
        <v>1</v>
      </c>
      <c r="CJ193">
        <v>1</v>
      </c>
      <c r="CK193">
        <v>22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"080068249606"</f>
        <v>080068249606</v>
      </c>
      <c r="F194" s="3">
        <v>45931</v>
      </c>
      <c r="G194">
        <v>202607</v>
      </c>
      <c r="H194" t="s">
        <v>79</v>
      </c>
      <c r="I194" t="s">
        <v>80</v>
      </c>
      <c r="J194" t="s">
        <v>91</v>
      </c>
      <c r="K194" t="s">
        <v>78</v>
      </c>
      <c r="L194" t="s">
        <v>148</v>
      </c>
      <c r="M194" t="s">
        <v>149</v>
      </c>
      <c r="N194" t="s">
        <v>685</v>
      </c>
      <c r="O194" t="s">
        <v>226</v>
      </c>
      <c r="P194" t="str">
        <f>"4170062581                    "</f>
        <v xml:space="preserve">4170062581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17.47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4</v>
      </c>
      <c r="BJ194">
        <v>7.8</v>
      </c>
      <c r="BK194">
        <v>8</v>
      </c>
      <c r="BL194">
        <v>55.44</v>
      </c>
      <c r="BM194">
        <v>8.32</v>
      </c>
      <c r="BN194">
        <v>63.76</v>
      </c>
      <c r="BO194">
        <v>63.76</v>
      </c>
      <c r="BQ194" t="s">
        <v>686</v>
      </c>
      <c r="BR194" t="s">
        <v>97</v>
      </c>
      <c r="BS194" s="3">
        <v>45932</v>
      </c>
      <c r="BT194" s="4">
        <v>0.34375</v>
      </c>
      <c r="BU194" t="s">
        <v>687</v>
      </c>
      <c r="BV194" t="s">
        <v>86</v>
      </c>
      <c r="BY194">
        <v>39192</v>
      </c>
      <c r="BZ194" t="s">
        <v>99</v>
      </c>
      <c r="CC194" t="s">
        <v>149</v>
      </c>
      <c r="CD194">
        <v>2169</v>
      </c>
      <c r="CE194" t="s">
        <v>101</v>
      </c>
      <c r="CF194" s="3">
        <v>45932</v>
      </c>
      <c r="CI194">
        <v>1</v>
      </c>
      <c r="CJ194">
        <v>1</v>
      </c>
      <c r="CK194">
        <v>32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"080068249608"</f>
        <v>080068249608</v>
      </c>
      <c r="F195" s="3">
        <v>45931</v>
      </c>
      <c r="G195">
        <v>202607</v>
      </c>
      <c r="H195" t="s">
        <v>79</v>
      </c>
      <c r="I195" t="s">
        <v>80</v>
      </c>
      <c r="J195" t="s">
        <v>91</v>
      </c>
      <c r="K195" t="s">
        <v>78</v>
      </c>
      <c r="L195" t="s">
        <v>79</v>
      </c>
      <c r="M195" t="s">
        <v>80</v>
      </c>
      <c r="N195" t="s">
        <v>357</v>
      </c>
      <c r="O195" t="s">
        <v>82</v>
      </c>
      <c r="P195" t="str">
        <f>"4170062574                    "</f>
        <v xml:space="preserve">4170062574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17.46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4.0999999999999996</v>
      </c>
      <c r="BK195">
        <v>5</v>
      </c>
      <c r="BL195">
        <v>55.42</v>
      </c>
      <c r="BM195">
        <v>8.31</v>
      </c>
      <c r="BN195">
        <v>63.73</v>
      </c>
      <c r="BO195">
        <v>63.73</v>
      </c>
      <c r="BQ195" t="s">
        <v>358</v>
      </c>
      <c r="BR195" t="s">
        <v>97</v>
      </c>
      <c r="BS195" s="3">
        <v>45932</v>
      </c>
      <c r="BT195" s="4">
        <v>0.39652777777777776</v>
      </c>
      <c r="BU195" t="s">
        <v>359</v>
      </c>
      <c r="BV195" t="s">
        <v>86</v>
      </c>
      <c r="BY195">
        <v>20358</v>
      </c>
      <c r="BZ195" t="s">
        <v>87</v>
      </c>
      <c r="CA195" t="s">
        <v>360</v>
      </c>
      <c r="CC195" t="s">
        <v>80</v>
      </c>
      <c r="CD195">
        <v>1645</v>
      </c>
      <c r="CE195" t="s">
        <v>101</v>
      </c>
      <c r="CF195" s="3">
        <v>45933</v>
      </c>
      <c r="CI195">
        <v>1</v>
      </c>
      <c r="CJ195">
        <v>1</v>
      </c>
      <c r="CK195">
        <v>22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"080068249626"</f>
        <v>080068249626</v>
      </c>
      <c r="F196" s="3">
        <v>45931</v>
      </c>
      <c r="G196">
        <v>202607</v>
      </c>
      <c r="H196" t="s">
        <v>79</v>
      </c>
      <c r="I196" t="s">
        <v>80</v>
      </c>
      <c r="J196" t="s">
        <v>91</v>
      </c>
      <c r="K196" t="s">
        <v>78</v>
      </c>
      <c r="L196" t="s">
        <v>168</v>
      </c>
      <c r="M196" t="s">
        <v>169</v>
      </c>
      <c r="N196" t="s">
        <v>688</v>
      </c>
      <c r="O196" t="s">
        <v>82</v>
      </c>
      <c r="P196" t="str">
        <f>"4170062566                    "</f>
        <v xml:space="preserve">4170062566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22.36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70.959999999999994</v>
      </c>
      <c r="BM196">
        <v>10.64</v>
      </c>
      <c r="BN196">
        <v>81.599999999999994</v>
      </c>
      <c r="BO196">
        <v>81.599999999999994</v>
      </c>
      <c r="BQ196" t="s">
        <v>689</v>
      </c>
      <c r="BR196" t="s">
        <v>97</v>
      </c>
      <c r="BS196" s="3">
        <v>45932</v>
      </c>
      <c r="BT196" s="4">
        <v>0.65</v>
      </c>
      <c r="BU196" t="s">
        <v>690</v>
      </c>
      <c r="BV196" t="s">
        <v>90</v>
      </c>
      <c r="BY196">
        <v>1200</v>
      </c>
      <c r="BZ196" t="s">
        <v>87</v>
      </c>
      <c r="CA196" t="s">
        <v>146</v>
      </c>
      <c r="CC196" t="s">
        <v>169</v>
      </c>
      <c r="CD196" s="5" t="s">
        <v>190</v>
      </c>
      <c r="CE196" t="s">
        <v>120</v>
      </c>
      <c r="CF196" s="3">
        <v>45932</v>
      </c>
      <c r="CI196">
        <v>1</v>
      </c>
      <c r="CJ196">
        <v>1</v>
      </c>
      <c r="CK196">
        <v>21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"080068249847"</f>
        <v>080068249847</v>
      </c>
      <c r="F197" s="3">
        <v>45931</v>
      </c>
      <c r="G197">
        <v>202607</v>
      </c>
      <c r="H197" t="s">
        <v>79</v>
      </c>
      <c r="I197" t="s">
        <v>80</v>
      </c>
      <c r="J197" t="s">
        <v>91</v>
      </c>
      <c r="K197" t="s">
        <v>78</v>
      </c>
      <c r="L197" t="s">
        <v>206</v>
      </c>
      <c r="M197" t="s">
        <v>207</v>
      </c>
      <c r="N197" t="s">
        <v>656</v>
      </c>
      <c r="O197" t="s">
        <v>82</v>
      </c>
      <c r="P197" t="str">
        <f>"4170062546                    "</f>
        <v xml:space="preserve">4170062546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22.36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1</v>
      </c>
      <c r="BK197">
        <v>1</v>
      </c>
      <c r="BL197">
        <v>70.959999999999994</v>
      </c>
      <c r="BM197">
        <v>10.64</v>
      </c>
      <c r="BN197">
        <v>81.599999999999994</v>
      </c>
      <c r="BO197">
        <v>81.599999999999994</v>
      </c>
      <c r="BQ197" t="s">
        <v>657</v>
      </c>
      <c r="BR197" t="s">
        <v>97</v>
      </c>
      <c r="BS197" s="3">
        <v>45932</v>
      </c>
      <c r="BT197" s="4">
        <v>0.40694444444444444</v>
      </c>
      <c r="BU197" t="s">
        <v>658</v>
      </c>
      <c r="BV197" t="s">
        <v>86</v>
      </c>
      <c r="BY197">
        <v>5184</v>
      </c>
      <c r="BZ197" t="s">
        <v>87</v>
      </c>
      <c r="CA197" t="s">
        <v>211</v>
      </c>
      <c r="CC197" t="s">
        <v>207</v>
      </c>
      <c r="CD197">
        <v>7441</v>
      </c>
      <c r="CE197" t="s">
        <v>107</v>
      </c>
      <c r="CF197" s="3">
        <v>45933</v>
      </c>
      <c r="CI197">
        <v>1</v>
      </c>
      <c r="CJ197">
        <v>1</v>
      </c>
      <c r="CK197">
        <v>21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"080068249848"</f>
        <v>080068249848</v>
      </c>
      <c r="F198" s="3">
        <v>45931</v>
      </c>
      <c r="G198">
        <v>202607</v>
      </c>
      <c r="H198" t="s">
        <v>79</v>
      </c>
      <c r="I198" t="s">
        <v>80</v>
      </c>
      <c r="J198" t="s">
        <v>91</v>
      </c>
      <c r="K198" t="s">
        <v>78</v>
      </c>
      <c r="L198" t="s">
        <v>453</v>
      </c>
      <c r="M198" t="s">
        <v>454</v>
      </c>
      <c r="N198" t="s">
        <v>691</v>
      </c>
      <c r="O198" t="s">
        <v>82</v>
      </c>
      <c r="P198" t="str">
        <f>"4170062504                    "</f>
        <v xml:space="preserve">4170062504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72.62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4</v>
      </c>
      <c r="BJ198">
        <v>6.4</v>
      </c>
      <c r="BK198">
        <v>6.5</v>
      </c>
      <c r="BL198">
        <v>230.48</v>
      </c>
      <c r="BM198">
        <v>34.57</v>
      </c>
      <c r="BN198">
        <v>265.05</v>
      </c>
      <c r="BO198">
        <v>265.05</v>
      </c>
      <c r="BQ198" t="s">
        <v>692</v>
      </c>
      <c r="BR198" t="s">
        <v>97</v>
      </c>
      <c r="BS198" s="3">
        <v>45932</v>
      </c>
      <c r="BT198" s="4">
        <v>0.54097222222222219</v>
      </c>
      <c r="BU198" t="s">
        <v>693</v>
      </c>
      <c r="BV198" t="s">
        <v>86</v>
      </c>
      <c r="BY198">
        <v>32000</v>
      </c>
      <c r="BZ198" t="s">
        <v>87</v>
      </c>
      <c r="CA198" t="s">
        <v>138</v>
      </c>
      <c r="CC198" t="s">
        <v>454</v>
      </c>
      <c r="CD198">
        <v>3610</v>
      </c>
      <c r="CE198" t="s">
        <v>107</v>
      </c>
      <c r="CF198" s="3">
        <v>45933</v>
      </c>
      <c r="CI198">
        <v>1</v>
      </c>
      <c r="CJ198">
        <v>1</v>
      </c>
      <c r="CK198">
        <v>21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"080068249863"</f>
        <v>080068249863</v>
      </c>
      <c r="F199" s="3">
        <v>45931</v>
      </c>
      <c r="G199">
        <v>202607</v>
      </c>
      <c r="H199" t="s">
        <v>79</v>
      </c>
      <c r="I199" t="s">
        <v>80</v>
      </c>
      <c r="J199" t="s">
        <v>91</v>
      </c>
      <c r="K199" t="s">
        <v>78</v>
      </c>
      <c r="L199" t="s">
        <v>453</v>
      </c>
      <c r="M199" t="s">
        <v>454</v>
      </c>
      <c r="N199" t="s">
        <v>455</v>
      </c>
      <c r="O199" t="s">
        <v>82</v>
      </c>
      <c r="P199" t="str">
        <f>"4170062576                    "</f>
        <v xml:space="preserve">4170062576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44.69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4</v>
      </c>
      <c r="BJ199">
        <v>3.3</v>
      </c>
      <c r="BK199">
        <v>4</v>
      </c>
      <c r="BL199">
        <v>141.85</v>
      </c>
      <c r="BM199">
        <v>21.28</v>
      </c>
      <c r="BN199">
        <v>163.13</v>
      </c>
      <c r="BO199">
        <v>163.13</v>
      </c>
      <c r="BQ199" t="s">
        <v>456</v>
      </c>
      <c r="BR199" t="s">
        <v>97</v>
      </c>
      <c r="BS199" s="3">
        <v>45932</v>
      </c>
      <c r="BT199" s="4">
        <v>0.40069444444444446</v>
      </c>
      <c r="BU199" t="s">
        <v>434</v>
      </c>
      <c r="BV199" t="s">
        <v>86</v>
      </c>
      <c r="BY199">
        <v>16640</v>
      </c>
      <c r="BZ199" t="s">
        <v>87</v>
      </c>
      <c r="CA199" t="s">
        <v>457</v>
      </c>
      <c r="CC199" t="s">
        <v>454</v>
      </c>
      <c r="CD199">
        <v>3608</v>
      </c>
      <c r="CE199" t="s">
        <v>107</v>
      </c>
      <c r="CF199" s="3">
        <v>45933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"080068249865"</f>
        <v>080068249865</v>
      </c>
      <c r="F200" s="3">
        <v>45931</v>
      </c>
      <c r="G200">
        <v>202607</v>
      </c>
      <c r="H200" t="s">
        <v>79</v>
      </c>
      <c r="I200" t="s">
        <v>80</v>
      </c>
      <c r="J200" t="s">
        <v>91</v>
      </c>
      <c r="K200" t="s">
        <v>78</v>
      </c>
      <c r="L200" t="s">
        <v>79</v>
      </c>
      <c r="M200" t="s">
        <v>80</v>
      </c>
      <c r="N200" t="s">
        <v>694</v>
      </c>
      <c r="O200" t="s">
        <v>226</v>
      </c>
      <c r="P200" t="str">
        <f>"4170062414                    "</f>
        <v xml:space="preserve">4170062414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17.47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6</v>
      </c>
      <c r="BJ200">
        <v>5.8</v>
      </c>
      <c r="BK200">
        <v>6</v>
      </c>
      <c r="BL200">
        <v>55.44</v>
      </c>
      <c r="BM200">
        <v>8.32</v>
      </c>
      <c r="BN200">
        <v>63.76</v>
      </c>
      <c r="BO200">
        <v>63.76</v>
      </c>
      <c r="BQ200" t="s">
        <v>695</v>
      </c>
      <c r="BR200" t="s">
        <v>97</v>
      </c>
      <c r="BS200" s="3">
        <v>45932</v>
      </c>
      <c r="BT200" s="4">
        <v>0.32361111111111113</v>
      </c>
      <c r="BU200" t="s">
        <v>696</v>
      </c>
      <c r="BV200" t="s">
        <v>86</v>
      </c>
      <c r="BY200">
        <v>29160</v>
      </c>
      <c r="BZ200" t="s">
        <v>99</v>
      </c>
      <c r="CA200" t="s">
        <v>631</v>
      </c>
      <c r="CC200" t="s">
        <v>80</v>
      </c>
      <c r="CD200">
        <v>1601</v>
      </c>
      <c r="CE200" t="s">
        <v>697</v>
      </c>
      <c r="CF200" s="3">
        <v>45932</v>
      </c>
      <c r="CI200">
        <v>1</v>
      </c>
      <c r="CJ200">
        <v>1</v>
      </c>
      <c r="CK200">
        <v>32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"080068249885"</f>
        <v>080068249885</v>
      </c>
      <c r="F201" s="3">
        <v>45931</v>
      </c>
      <c r="G201">
        <v>202607</v>
      </c>
      <c r="H201" t="s">
        <v>79</v>
      </c>
      <c r="I201" t="s">
        <v>80</v>
      </c>
      <c r="J201" t="s">
        <v>91</v>
      </c>
      <c r="K201" t="s">
        <v>78</v>
      </c>
      <c r="L201" t="s">
        <v>453</v>
      </c>
      <c r="M201" t="s">
        <v>454</v>
      </c>
      <c r="N201" t="s">
        <v>639</v>
      </c>
      <c r="O201" t="s">
        <v>82</v>
      </c>
      <c r="P201" t="str">
        <f>"4170062571                    "</f>
        <v xml:space="preserve">4170062571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89.37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8</v>
      </c>
      <c r="BJ201">
        <v>4.0999999999999996</v>
      </c>
      <c r="BK201">
        <v>8</v>
      </c>
      <c r="BL201">
        <v>283.64999999999998</v>
      </c>
      <c r="BM201">
        <v>42.55</v>
      </c>
      <c r="BN201">
        <v>326.2</v>
      </c>
      <c r="BO201">
        <v>326.2</v>
      </c>
      <c r="BQ201" t="s">
        <v>640</v>
      </c>
      <c r="BR201" t="s">
        <v>97</v>
      </c>
      <c r="BS201" s="3">
        <v>45932</v>
      </c>
      <c r="BT201" s="4">
        <v>0.42152777777777778</v>
      </c>
      <c r="BU201" t="s">
        <v>641</v>
      </c>
      <c r="BV201" t="s">
        <v>86</v>
      </c>
      <c r="BY201">
        <v>20358</v>
      </c>
      <c r="BZ201" t="s">
        <v>87</v>
      </c>
      <c r="CA201" t="s">
        <v>457</v>
      </c>
      <c r="CC201" t="s">
        <v>454</v>
      </c>
      <c r="CD201">
        <v>3610</v>
      </c>
      <c r="CE201" t="s">
        <v>101</v>
      </c>
      <c r="CF201" s="3">
        <v>45932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"080068249902"</f>
        <v>080068249902</v>
      </c>
      <c r="F202" s="3">
        <v>45931</v>
      </c>
      <c r="G202">
        <v>202607</v>
      </c>
      <c r="H202" t="s">
        <v>79</v>
      </c>
      <c r="I202" t="s">
        <v>80</v>
      </c>
      <c r="J202" t="s">
        <v>91</v>
      </c>
      <c r="K202" t="s">
        <v>78</v>
      </c>
      <c r="L202" t="s">
        <v>453</v>
      </c>
      <c r="M202" t="s">
        <v>454</v>
      </c>
      <c r="N202" t="s">
        <v>665</v>
      </c>
      <c r="O202" t="s">
        <v>82</v>
      </c>
      <c r="P202" t="str">
        <f>"4170062582                    "</f>
        <v xml:space="preserve">4170062582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50.28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4.0999999999999996</v>
      </c>
      <c r="BK202">
        <v>4.5</v>
      </c>
      <c r="BL202">
        <v>159.58000000000001</v>
      </c>
      <c r="BM202">
        <v>23.94</v>
      </c>
      <c r="BN202">
        <v>183.52</v>
      </c>
      <c r="BO202">
        <v>183.52</v>
      </c>
      <c r="BQ202" t="s">
        <v>666</v>
      </c>
      <c r="BR202" t="s">
        <v>97</v>
      </c>
      <c r="BS202" s="3">
        <v>45932</v>
      </c>
      <c r="BT202" s="4">
        <v>0.5</v>
      </c>
      <c r="BU202" t="s">
        <v>667</v>
      </c>
      <c r="BV202" t="s">
        <v>86</v>
      </c>
      <c r="BY202">
        <v>20358</v>
      </c>
      <c r="BZ202" t="s">
        <v>87</v>
      </c>
      <c r="CA202" t="s">
        <v>138</v>
      </c>
      <c r="CC202" t="s">
        <v>454</v>
      </c>
      <c r="CD202">
        <v>3610</v>
      </c>
      <c r="CE202" t="s">
        <v>101</v>
      </c>
      <c r="CF202" s="3">
        <v>45933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"080068249930"</f>
        <v>080068249930</v>
      </c>
      <c r="F203" s="3">
        <v>45931</v>
      </c>
      <c r="G203">
        <v>202607</v>
      </c>
      <c r="H203" t="s">
        <v>79</v>
      </c>
      <c r="I203" t="s">
        <v>80</v>
      </c>
      <c r="J203" t="s">
        <v>91</v>
      </c>
      <c r="K203" t="s">
        <v>78</v>
      </c>
      <c r="L203" t="s">
        <v>206</v>
      </c>
      <c r="M203" t="s">
        <v>207</v>
      </c>
      <c r="N203" t="s">
        <v>698</v>
      </c>
      <c r="O203" t="s">
        <v>82</v>
      </c>
      <c r="P203" t="str">
        <f>"4170062454                    "</f>
        <v xml:space="preserve">4170062454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22.36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1.1000000000000001</v>
      </c>
      <c r="BK203">
        <v>1.5</v>
      </c>
      <c r="BL203">
        <v>70.959999999999994</v>
      </c>
      <c r="BM203">
        <v>10.64</v>
      </c>
      <c r="BN203">
        <v>81.599999999999994</v>
      </c>
      <c r="BO203">
        <v>81.599999999999994</v>
      </c>
      <c r="BQ203" t="s">
        <v>699</v>
      </c>
      <c r="BR203" t="s">
        <v>97</v>
      </c>
      <c r="BS203" s="3">
        <v>45932</v>
      </c>
      <c r="BT203" s="4">
        <v>0.42638888888888887</v>
      </c>
      <c r="BU203" t="s">
        <v>700</v>
      </c>
      <c r="BV203" t="s">
        <v>86</v>
      </c>
      <c r="BY203">
        <v>5320</v>
      </c>
      <c r="BZ203" t="s">
        <v>87</v>
      </c>
      <c r="CA203" t="s">
        <v>375</v>
      </c>
      <c r="CC203" t="s">
        <v>207</v>
      </c>
      <c r="CD203">
        <v>7800</v>
      </c>
      <c r="CE203" t="s">
        <v>101</v>
      </c>
      <c r="CF203" s="3">
        <v>45933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"080068249936"</f>
        <v>080068249936</v>
      </c>
      <c r="F204" s="3">
        <v>45931</v>
      </c>
      <c r="G204">
        <v>202607</v>
      </c>
      <c r="H204" t="s">
        <v>79</v>
      </c>
      <c r="I204" t="s">
        <v>80</v>
      </c>
      <c r="J204" t="s">
        <v>91</v>
      </c>
      <c r="K204" t="s">
        <v>78</v>
      </c>
      <c r="L204" t="s">
        <v>206</v>
      </c>
      <c r="M204" t="s">
        <v>207</v>
      </c>
      <c r="N204" t="s">
        <v>701</v>
      </c>
      <c r="O204" t="s">
        <v>82</v>
      </c>
      <c r="P204" t="str">
        <f>"4170062563                    "</f>
        <v xml:space="preserve">4170062563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50.28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3</v>
      </c>
      <c r="BJ204">
        <v>4.3</v>
      </c>
      <c r="BK204">
        <v>4.5</v>
      </c>
      <c r="BL204">
        <v>159.58000000000001</v>
      </c>
      <c r="BM204">
        <v>23.94</v>
      </c>
      <c r="BN204">
        <v>183.52</v>
      </c>
      <c r="BO204">
        <v>183.52</v>
      </c>
      <c r="BQ204" t="s">
        <v>702</v>
      </c>
      <c r="BR204" t="s">
        <v>97</v>
      </c>
      <c r="BS204" s="3">
        <v>45932</v>
      </c>
      <c r="BT204" s="4">
        <v>0.41666666666666669</v>
      </c>
      <c r="BU204" t="s">
        <v>703</v>
      </c>
      <c r="BV204" t="s">
        <v>86</v>
      </c>
      <c r="BY204">
        <v>21280</v>
      </c>
      <c r="BZ204" t="s">
        <v>87</v>
      </c>
      <c r="CC204" t="s">
        <v>207</v>
      </c>
      <c r="CD204">
        <v>8001</v>
      </c>
      <c r="CE204" t="s">
        <v>107</v>
      </c>
      <c r="CF204" s="3">
        <v>45933</v>
      </c>
      <c r="CI204">
        <v>1</v>
      </c>
      <c r="CJ204">
        <v>1</v>
      </c>
      <c r="CK204">
        <v>21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"080068249943"</f>
        <v>080068249943</v>
      </c>
      <c r="F205" s="3">
        <v>45931</v>
      </c>
      <c r="G205">
        <v>202607</v>
      </c>
      <c r="H205" t="s">
        <v>79</v>
      </c>
      <c r="I205" t="s">
        <v>80</v>
      </c>
      <c r="J205" t="s">
        <v>91</v>
      </c>
      <c r="K205" t="s">
        <v>78</v>
      </c>
      <c r="L205" t="s">
        <v>322</v>
      </c>
      <c r="M205" t="s">
        <v>322</v>
      </c>
      <c r="N205" t="s">
        <v>704</v>
      </c>
      <c r="O205" t="s">
        <v>82</v>
      </c>
      <c r="P205" t="str">
        <f>"4170062361                    "</f>
        <v xml:space="preserve">4170062361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43.31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137.47</v>
      </c>
      <c r="BM205">
        <v>20.62</v>
      </c>
      <c r="BN205">
        <v>158.09</v>
      </c>
      <c r="BO205">
        <v>158.09</v>
      </c>
      <c r="BQ205" t="s">
        <v>705</v>
      </c>
      <c r="BR205" t="s">
        <v>97</v>
      </c>
      <c r="BS205" s="3">
        <v>45932</v>
      </c>
      <c r="BT205" s="4">
        <v>0.54097222222222219</v>
      </c>
      <c r="BU205" t="s">
        <v>706</v>
      </c>
      <c r="BV205" t="s">
        <v>86</v>
      </c>
      <c r="BY205">
        <v>1200</v>
      </c>
      <c r="BZ205" t="s">
        <v>87</v>
      </c>
      <c r="CA205" t="s">
        <v>326</v>
      </c>
      <c r="CC205" t="s">
        <v>322</v>
      </c>
      <c r="CD205">
        <v>7654</v>
      </c>
      <c r="CE205" t="s">
        <v>120</v>
      </c>
      <c r="CF205" s="3">
        <v>45933</v>
      </c>
      <c r="CI205">
        <v>1</v>
      </c>
      <c r="CJ205">
        <v>1</v>
      </c>
      <c r="CK205">
        <v>23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"080068249956"</f>
        <v>080068249956</v>
      </c>
      <c r="F206" s="3">
        <v>45931</v>
      </c>
      <c r="G206">
        <v>202607</v>
      </c>
      <c r="H206" t="s">
        <v>79</v>
      </c>
      <c r="I206" t="s">
        <v>80</v>
      </c>
      <c r="J206" t="s">
        <v>91</v>
      </c>
      <c r="K206" t="s">
        <v>78</v>
      </c>
      <c r="L206" t="s">
        <v>121</v>
      </c>
      <c r="M206" t="s">
        <v>122</v>
      </c>
      <c r="N206" t="s">
        <v>707</v>
      </c>
      <c r="O206" t="s">
        <v>82</v>
      </c>
      <c r="P206" t="str">
        <f>"4170062567                    "</f>
        <v xml:space="preserve">4170062567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22.36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70.959999999999994</v>
      </c>
      <c r="BM206">
        <v>10.64</v>
      </c>
      <c r="BN206">
        <v>81.599999999999994</v>
      </c>
      <c r="BO206">
        <v>81.599999999999994</v>
      </c>
      <c r="BQ206" t="s">
        <v>708</v>
      </c>
      <c r="BR206" t="s">
        <v>97</v>
      </c>
      <c r="BS206" s="3">
        <v>45932</v>
      </c>
      <c r="BT206" s="4">
        <v>0.42708333333333331</v>
      </c>
      <c r="BU206" t="s">
        <v>709</v>
      </c>
      <c r="BV206" t="s">
        <v>86</v>
      </c>
      <c r="BY206">
        <v>1200</v>
      </c>
      <c r="BZ206" t="s">
        <v>87</v>
      </c>
      <c r="CA206" t="s">
        <v>651</v>
      </c>
      <c r="CC206" t="s">
        <v>122</v>
      </c>
      <c r="CD206">
        <v>4001</v>
      </c>
      <c r="CE206" t="s">
        <v>120</v>
      </c>
      <c r="CF206" s="3">
        <v>45932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"080068275774"</f>
        <v>080068275774</v>
      </c>
      <c r="F207" s="3">
        <v>45932</v>
      </c>
      <c r="G207">
        <v>202607</v>
      </c>
      <c r="H207" t="s">
        <v>79</v>
      </c>
      <c r="I207" t="s">
        <v>80</v>
      </c>
      <c r="J207" t="s">
        <v>91</v>
      </c>
      <c r="K207" t="s">
        <v>78</v>
      </c>
      <c r="L207" t="s">
        <v>271</v>
      </c>
      <c r="M207" t="s">
        <v>272</v>
      </c>
      <c r="N207" t="s">
        <v>277</v>
      </c>
      <c r="O207" t="s">
        <v>82</v>
      </c>
      <c r="P207" t="str">
        <f>"4170062753                    "</f>
        <v xml:space="preserve">4170062753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17.46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1.1000000000000001</v>
      </c>
      <c r="BK207">
        <v>2</v>
      </c>
      <c r="BL207">
        <v>55.42</v>
      </c>
      <c r="BM207">
        <v>8.31</v>
      </c>
      <c r="BN207">
        <v>63.73</v>
      </c>
      <c r="BO207">
        <v>63.73</v>
      </c>
      <c r="BQ207" t="s">
        <v>278</v>
      </c>
      <c r="BR207" t="s">
        <v>97</v>
      </c>
      <c r="BS207" s="3">
        <v>45933</v>
      </c>
      <c r="BT207" s="4">
        <v>0.3840277777777778</v>
      </c>
      <c r="BU207" t="s">
        <v>378</v>
      </c>
      <c r="BV207" t="s">
        <v>86</v>
      </c>
      <c r="BY207">
        <v>5510</v>
      </c>
      <c r="CA207" t="s">
        <v>280</v>
      </c>
      <c r="CC207" t="s">
        <v>272</v>
      </c>
      <c r="CD207">
        <v>1401</v>
      </c>
      <c r="CE207" t="s">
        <v>191</v>
      </c>
      <c r="CF207" s="3">
        <v>45934</v>
      </c>
      <c r="CI207">
        <v>1</v>
      </c>
      <c r="CJ207">
        <v>1</v>
      </c>
      <c r="CK207">
        <v>22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"080011637312"</f>
        <v>080011637312</v>
      </c>
      <c r="F208" s="3">
        <v>45932</v>
      </c>
      <c r="G208">
        <v>202607</v>
      </c>
      <c r="H208" t="s">
        <v>710</v>
      </c>
      <c r="I208" t="s">
        <v>711</v>
      </c>
      <c r="J208" t="s">
        <v>712</v>
      </c>
      <c r="K208" t="s">
        <v>78</v>
      </c>
      <c r="L208" t="s">
        <v>79</v>
      </c>
      <c r="M208" t="s">
        <v>80</v>
      </c>
      <c r="N208" t="s">
        <v>81</v>
      </c>
      <c r="O208" t="s">
        <v>95</v>
      </c>
      <c r="P208" t="str">
        <f>"ZA1001412946                  "</f>
        <v xml:space="preserve">ZA1001412946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43.23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3</v>
      </c>
      <c r="BJ208">
        <v>1.2</v>
      </c>
      <c r="BK208">
        <v>3</v>
      </c>
      <c r="BL208">
        <v>143.08000000000001</v>
      </c>
      <c r="BM208">
        <v>21.46</v>
      </c>
      <c r="BN208">
        <v>164.54</v>
      </c>
      <c r="BO208">
        <v>164.54</v>
      </c>
      <c r="BQ208" t="s">
        <v>83</v>
      </c>
      <c r="BR208" t="s">
        <v>713</v>
      </c>
      <c r="BS208" s="3">
        <v>45933</v>
      </c>
      <c r="BT208" s="4">
        <v>0.40694444444444444</v>
      </c>
      <c r="BU208" t="s">
        <v>85</v>
      </c>
      <c r="BV208" t="s">
        <v>86</v>
      </c>
      <c r="BY208">
        <v>5760</v>
      </c>
      <c r="BZ208" t="s">
        <v>99</v>
      </c>
      <c r="CA208" t="s">
        <v>88</v>
      </c>
      <c r="CC208" t="s">
        <v>80</v>
      </c>
      <c r="CD208">
        <v>1619</v>
      </c>
      <c r="CE208" t="s">
        <v>89</v>
      </c>
      <c r="CF208" s="3">
        <v>45933</v>
      </c>
      <c r="CI208">
        <v>1</v>
      </c>
      <c r="CJ208">
        <v>1</v>
      </c>
      <c r="CK208">
        <v>41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"080011637374"</f>
        <v>080011637374</v>
      </c>
      <c r="F209" s="3">
        <v>45932</v>
      </c>
      <c r="G209">
        <v>202607</v>
      </c>
      <c r="H209" t="s">
        <v>108</v>
      </c>
      <c r="I209" t="s">
        <v>109</v>
      </c>
      <c r="J209" t="s">
        <v>714</v>
      </c>
      <c r="K209" t="s">
        <v>78</v>
      </c>
      <c r="L209" t="s">
        <v>79</v>
      </c>
      <c r="M209" t="s">
        <v>80</v>
      </c>
      <c r="N209" t="s">
        <v>81</v>
      </c>
      <c r="O209" t="s">
        <v>95</v>
      </c>
      <c r="P209" t="str">
        <f>"ZA1001413375                  "</f>
        <v xml:space="preserve">ZA1001413375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43.23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143.08000000000001</v>
      </c>
      <c r="BM209">
        <v>21.46</v>
      </c>
      <c r="BN209">
        <v>164.54</v>
      </c>
      <c r="BO209">
        <v>164.54</v>
      </c>
      <c r="BQ209" t="s">
        <v>83</v>
      </c>
      <c r="BR209" t="s">
        <v>715</v>
      </c>
      <c r="BS209" s="3">
        <v>45936</v>
      </c>
      <c r="BT209" s="4">
        <v>0.43055555555555558</v>
      </c>
      <c r="BU209" t="s">
        <v>85</v>
      </c>
      <c r="BV209" t="s">
        <v>86</v>
      </c>
      <c r="BY209">
        <v>1200</v>
      </c>
      <c r="BZ209" t="s">
        <v>99</v>
      </c>
      <c r="CA209" t="s">
        <v>88</v>
      </c>
      <c r="CC209" t="s">
        <v>80</v>
      </c>
      <c r="CD209">
        <v>1619</v>
      </c>
      <c r="CE209" t="s">
        <v>89</v>
      </c>
      <c r="CF209" s="3">
        <v>45937</v>
      </c>
      <c r="CI209">
        <v>3</v>
      </c>
      <c r="CJ209">
        <v>2</v>
      </c>
      <c r="CK209">
        <v>41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"080011638135"</f>
        <v>080011638135</v>
      </c>
      <c r="F210" s="3">
        <v>45932</v>
      </c>
      <c r="G210">
        <v>202607</v>
      </c>
      <c r="H210" t="s">
        <v>79</v>
      </c>
      <c r="I210" t="s">
        <v>80</v>
      </c>
      <c r="J210" t="s">
        <v>716</v>
      </c>
      <c r="K210" t="s">
        <v>78</v>
      </c>
      <c r="L210" t="s">
        <v>79</v>
      </c>
      <c r="M210" t="s">
        <v>80</v>
      </c>
      <c r="N210" t="s">
        <v>81</v>
      </c>
      <c r="O210" t="s">
        <v>95</v>
      </c>
      <c r="P210" t="str">
        <f>"ZA1001416874                  "</f>
        <v xml:space="preserve">ZA1001416874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33.36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6.2</v>
      </c>
      <c r="BJ210">
        <v>1.5</v>
      </c>
      <c r="BK210">
        <v>7</v>
      </c>
      <c r="BL210">
        <v>111.75</v>
      </c>
      <c r="BM210">
        <v>16.760000000000002</v>
      </c>
      <c r="BN210">
        <v>128.51</v>
      </c>
      <c r="BO210">
        <v>128.51</v>
      </c>
      <c r="BQ210" t="s">
        <v>83</v>
      </c>
      <c r="BR210" t="s">
        <v>717</v>
      </c>
      <c r="BS210" s="3">
        <v>45933</v>
      </c>
      <c r="BT210" s="4">
        <v>0.40694444444444444</v>
      </c>
      <c r="BU210" t="s">
        <v>85</v>
      </c>
      <c r="BV210" t="s">
        <v>86</v>
      </c>
      <c r="BY210">
        <v>7616</v>
      </c>
      <c r="BZ210" t="s">
        <v>99</v>
      </c>
      <c r="CA210" t="s">
        <v>88</v>
      </c>
      <c r="CC210" t="s">
        <v>80</v>
      </c>
      <c r="CD210">
        <v>1619</v>
      </c>
      <c r="CE210" t="s">
        <v>89</v>
      </c>
      <c r="CF210" s="3">
        <v>45933</v>
      </c>
      <c r="CI210">
        <v>1</v>
      </c>
      <c r="CJ210">
        <v>1</v>
      </c>
      <c r="CK210">
        <v>42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"R080068189131"</f>
        <v>R080068189131</v>
      </c>
      <c r="F211" s="3">
        <v>45932</v>
      </c>
      <c r="G211">
        <v>202607</v>
      </c>
      <c r="H211" t="s">
        <v>218</v>
      </c>
      <c r="I211" t="s">
        <v>219</v>
      </c>
      <c r="J211" t="s">
        <v>220</v>
      </c>
      <c r="K211" t="s">
        <v>78</v>
      </c>
      <c r="L211" t="s">
        <v>218</v>
      </c>
      <c r="M211" t="s">
        <v>219</v>
      </c>
      <c r="N211" t="s">
        <v>718</v>
      </c>
      <c r="O211" t="s">
        <v>95</v>
      </c>
      <c r="P211" t="str">
        <f>"4170062034                    "</f>
        <v xml:space="preserve">4170062034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33.36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4</v>
      </c>
      <c r="BJ211">
        <v>7.2</v>
      </c>
      <c r="BK211">
        <v>8</v>
      </c>
      <c r="BL211">
        <v>111.75</v>
      </c>
      <c r="BM211">
        <v>16.760000000000002</v>
      </c>
      <c r="BN211">
        <v>128.51</v>
      </c>
      <c r="BO211">
        <v>128.51</v>
      </c>
      <c r="BQ211" s="5" t="s">
        <v>719</v>
      </c>
      <c r="BR211" t="s">
        <v>221</v>
      </c>
      <c r="BS211" s="3">
        <v>45933</v>
      </c>
      <c r="BT211" s="4">
        <v>0.37222222222222223</v>
      </c>
      <c r="BU211" t="s">
        <v>199</v>
      </c>
      <c r="BV211" t="s">
        <v>86</v>
      </c>
      <c r="BY211">
        <v>36192</v>
      </c>
      <c r="BZ211" t="s">
        <v>99</v>
      </c>
      <c r="CA211" t="s">
        <v>720</v>
      </c>
      <c r="CC211" t="s">
        <v>219</v>
      </c>
      <c r="CD211">
        <v>1559</v>
      </c>
      <c r="CE211" t="s">
        <v>107</v>
      </c>
      <c r="CF211" s="3">
        <v>45936</v>
      </c>
      <c r="CI211">
        <v>1</v>
      </c>
      <c r="CJ211">
        <v>1</v>
      </c>
      <c r="CK211">
        <v>42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"R080068189323"</f>
        <v>R080068189323</v>
      </c>
      <c r="F212" s="3">
        <v>45932</v>
      </c>
      <c r="G212">
        <v>202607</v>
      </c>
      <c r="H212" t="s">
        <v>218</v>
      </c>
      <c r="I212" t="s">
        <v>219</v>
      </c>
      <c r="J212" t="s">
        <v>220</v>
      </c>
      <c r="K212" t="s">
        <v>78</v>
      </c>
      <c r="L212" t="s">
        <v>218</v>
      </c>
      <c r="M212" t="s">
        <v>219</v>
      </c>
      <c r="N212" t="s">
        <v>718</v>
      </c>
      <c r="O212" t="s">
        <v>95</v>
      </c>
      <c r="P212" t="str">
        <f>"4170062035                    "</f>
        <v xml:space="preserve">4170062035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36.28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7</v>
      </c>
      <c r="BJ212">
        <v>17.7</v>
      </c>
      <c r="BK212">
        <v>18</v>
      </c>
      <c r="BL212">
        <v>121.03</v>
      </c>
      <c r="BM212">
        <v>18.149999999999999</v>
      </c>
      <c r="BN212">
        <v>139.18</v>
      </c>
      <c r="BO212">
        <v>139.18</v>
      </c>
      <c r="BQ212" s="5" t="s">
        <v>719</v>
      </c>
      <c r="BR212" t="s">
        <v>221</v>
      </c>
      <c r="BS212" s="3">
        <v>45933</v>
      </c>
      <c r="BT212" s="4">
        <v>0.37222222222222223</v>
      </c>
      <c r="BU212" t="s">
        <v>199</v>
      </c>
      <c r="BV212" t="s">
        <v>86</v>
      </c>
      <c r="BY212">
        <v>88320</v>
      </c>
      <c r="BZ212" t="s">
        <v>99</v>
      </c>
      <c r="CA212" t="s">
        <v>720</v>
      </c>
      <c r="CC212" t="s">
        <v>219</v>
      </c>
      <c r="CD212">
        <v>1559</v>
      </c>
      <c r="CE212" t="s">
        <v>101</v>
      </c>
      <c r="CF212" s="3">
        <v>45933</v>
      </c>
      <c r="CI212">
        <v>1</v>
      </c>
      <c r="CJ212">
        <v>1</v>
      </c>
      <c r="CK212">
        <v>42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"080068266765"</f>
        <v>080068266765</v>
      </c>
      <c r="F213" s="3">
        <v>45932</v>
      </c>
      <c r="G213">
        <v>202607</v>
      </c>
      <c r="H213" t="s">
        <v>79</v>
      </c>
      <c r="I213" t="s">
        <v>80</v>
      </c>
      <c r="J213" t="s">
        <v>91</v>
      </c>
      <c r="K213" t="s">
        <v>78</v>
      </c>
      <c r="L213" t="s">
        <v>265</v>
      </c>
      <c r="M213" t="s">
        <v>266</v>
      </c>
      <c r="N213" t="s">
        <v>721</v>
      </c>
      <c r="O213" t="s">
        <v>95</v>
      </c>
      <c r="P213" t="str">
        <f>"4170062590                    "</f>
        <v xml:space="preserve">4170062590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400.19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2</v>
      </c>
      <c r="BI213">
        <v>178</v>
      </c>
      <c r="BJ213">
        <v>214.3</v>
      </c>
      <c r="BK213">
        <v>215</v>
      </c>
      <c r="BL213">
        <v>1276.04</v>
      </c>
      <c r="BM213">
        <v>191.41</v>
      </c>
      <c r="BN213">
        <v>1467.45</v>
      </c>
      <c r="BO213">
        <v>1467.45</v>
      </c>
      <c r="BQ213" t="s">
        <v>722</v>
      </c>
      <c r="BR213" t="s">
        <v>97</v>
      </c>
      <c r="BS213" s="3">
        <v>45937</v>
      </c>
      <c r="BT213" s="4">
        <v>0.55069444444444449</v>
      </c>
      <c r="BU213" t="s">
        <v>723</v>
      </c>
      <c r="BV213" t="s">
        <v>86</v>
      </c>
      <c r="BY213">
        <v>1071453</v>
      </c>
      <c r="CC213" t="s">
        <v>266</v>
      </c>
      <c r="CD213">
        <v>6229</v>
      </c>
      <c r="CE213" t="s">
        <v>724</v>
      </c>
      <c r="CF213" s="3">
        <v>45940</v>
      </c>
      <c r="CI213">
        <v>3</v>
      </c>
      <c r="CJ213">
        <v>3</v>
      </c>
      <c r="CK213">
        <v>41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"080068267350"</f>
        <v>080068267350</v>
      </c>
      <c r="F214" s="3">
        <v>45932</v>
      </c>
      <c r="G214">
        <v>202607</v>
      </c>
      <c r="H214" t="s">
        <v>79</v>
      </c>
      <c r="I214" t="s">
        <v>80</v>
      </c>
      <c r="J214" t="s">
        <v>91</v>
      </c>
      <c r="K214" t="s">
        <v>78</v>
      </c>
      <c r="L214" t="s">
        <v>223</v>
      </c>
      <c r="M214" t="s">
        <v>224</v>
      </c>
      <c r="N214" t="s">
        <v>570</v>
      </c>
      <c r="O214" t="s">
        <v>95</v>
      </c>
      <c r="P214" t="str">
        <f>"4170054702                    "</f>
        <v xml:space="preserve">4170054702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60.66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2</v>
      </c>
      <c r="BI214">
        <v>26</v>
      </c>
      <c r="BJ214">
        <v>42.3</v>
      </c>
      <c r="BK214">
        <v>43</v>
      </c>
      <c r="BL214">
        <v>198.41</v>
      </c>
      <c r="BM214">
        <v>29.76</v>
      </c>
      <c r="BN214">
        <v>228.17</v>
      </c>
      <c r="BO214">
        <v>228.17</v>
      </c>
      <c r="BQ214" t="s">
        <v>571</v>
      </c>
      <c r="BR214" t="s">
        <v>97</v>
      </c>
      <c r="BS214" s="3">
        <v>45933</v>
      </c>
      <c r="BT214" s="4">
        <v>0.40486111111111112</v>
      </c>
      <c r="BU214" t="s">
        <v>725</v>
      </c>
      <c r="BV214" t="s">
        <v>86</v>
      </c>
      <c r="BY214">
        <v>105840</v>
      </c>
      <c r="BZ214" t="s">
        <v>99</v>
      </c>
      <c r="CA214" t="s">
        <v>726</v>
      </c>
      <c r="CC214" t="s">
        <v>224</v>
      </c>
      <c r="CD214">
        <v>1459</v>
      </c>
      <c r="CE214" t="s">
        <v>727</v>
      </c>
      <c r="CF214" s="3">
        <v>45933</v>
      </c>
      <c r="CI214">
        <v>1</v>
      </c>
      <c r="CJ214">
        <v>1</v>
      </c>
      <c r="CK214">
        <v>42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"080068268228"</f>
        <v>080068268228</v>
      </c>
      <c r="F215" s="3">
        <v>45932</v>
      </c>
      <c r="G215">
        <v>202607</v>
      </c>
      <c r="H215" t="s">
        <v>79</v>
      </c>
      <c r="I215" t="s">
        <v>80</v>
      </c>
      <c r="J215" t="s">
        <v>91</v>
      </c>
      <c r="K215" t="s">
        <v>78</v>
      </c>
      <c r="L215" t="s">
        <v>322</v>
      </c>
      <c r="M215" t="s">
        <v>322</v>
      </c>
      <c r="N215" t="s">
        <v>481</v>
      </c>
      <c r="O215" t="s">
        <v>82</v>
      </c>
      <c r="P215" t="str">
        <f>"4170062336                    "</f>
        <v xml:space="preserve">4170062336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43.31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1.7</v>
      </c>
      <c r="BK215">
        <v>2</v>
      </c>
      <c r="BL215">
        <v>137.47</v>
      </c>
      <c r="BM215">
        <v>20.62</v>
      </c>
      <c r="BN215">
        <v>158.09</v>
      </c>
      <c r="BO215">
        <v>158.09</v>
      </c>
      <c r="BQ215" t="s">
        <v>482</v>
      </c>
      <c r="BR215" t="s">
        <v>97</v>
      </c>
      <c r="BS215" s="3">
        <v>45933</v>
      </c>
      <c r="BT215" s="4">
        <v>0.53472222222222221</v>
      </c>
      <c r="BU215" t="s">
        <v>378</v>
      </c>
      <c r="BV215" t="s">
        <v>86</v>
      </c>
      <c r="BY215">
        <v>8512</v>
      </c>
      <c r="CA215" t="s">
        <v>326</v>
      </c>
      <c r="CC215" t="s">
        <v>322</v>
      </c>
      <c r="CD215">
        <v>7646</v>
      </c>
      <c r="CE215" t="s">
        <v>191</v>
      </c>
      <c r="CF215" s="3">
        <v>45937</v>
      </c>
      <c r="CI215">
        <v>1</v>
      </c>
      <c r="CJ215">
        <v>1</v>
      </c>
      <c r="CK215">
        <v>23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"080068268241"</f>
        <v>080068268241</v>
      </c>
      <c r="F216" s="3">
        <v>45932</v>
      </c>
      <c r="G216">
        <v>202607</v>
      </c>
      <c r="H216" t="s">
        <v>79</v>
      </c>
      <c r="I216" t="s">
        <v>80</v>
      </c>
      <c r="J216" t="s">
        <v>91</v>
      </c>
      <c r="K216" t="s">
        <v>78</v>
      </c>
      <c r="L216" t="s">
        <v>239</v>
      </c>
      <c r="M216" t="s">
        <v>240</v>
      </c>
      <c r="N216" t="s">
        <v>728</v>
      </c>
      <c r="O216" t="s">
        <v>82</v>
      </c>
      <c r="P216" t="str">
        <f>"4170062760                    "</f>
        <v xml:space="preserve">4170062760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43.31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137.47</v>
      </c>
      <c r="BM216">
        <v>20.62</v>
      </c>
      <c r="BN216">
        <v>158.09</v>
      </c>
      <c r="BO216">
        <v>158.09</v>
      </c>
      <c r="BQ216" t="s">
        <v>729</v>
      </c>
      <c r="BR216" t="s">
        <v>97</v>
      </c>
      <c r="BS216" s="3">
        <v>45936</v>
      </c>
      <c r="BT216" s="4">
        <v>0.42430555555555555</v>
      </c>
      <c r="BU216" t="s">
        <v>730</v>
      </c>
      <c r="BV216" t="s">
        <v>90</v>
      </c>
      <c r="BW216" t="s">
        <v>731</v>
      </c>
      <c r="BX216" t="s">
        <v>732</v>
      </c>
      <c r="BY216">
        <v>1200</v>
      </c>
      <c r="CA216" t="s">
        <v>529</v>
      </c>
      <c r="CC216" t="s">
        <v>240</v>
      </c>
      <c r="CD216" s="5" t="s">
        <v>245</v>
      </c>
      <c r="CE216" t="s">
        <v>147</v>
      </c>
      <c r="CF216" s="3">
        <v>45937</v>
      </c>
      <c r="CI216">
        <v>1</v>
      </c>
      <c r="CJ216">
        <v>2</v>
      </c>
      <c r="CK216">
        <v>23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"080068268277"</f>
        <v>080068268277</v>
      </c>
      <c r="F217" s="3">
        <v>45932</v>
      </c>
      <c r="G217">
        <v>202607</v>
      </c>
      <c r="H217" t="s">
        <v>79</v>
      </c>
      <c r="I217" t="s">
        <v>80</v>
      </c>
      <c r="J217" t="s">
        <v>91</v>
      </c>
      <c r="K217" t="s">
        <v>78</v>
      </c>
      <c r="L217" t="s">
        <v>322</v>
      </c>
      <c r="M217" t="s">
        <v>322</v>
      </c>
      <c r="N217" t="s">
        <v>323</v>
      </c>
      <c r="O217" t="s">
        <v>95</v>
      </c>
      <c r="P217" t="str">
        <f>"4170062569                    "</f>
        <v xml:space="preserve">4170062569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176.2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4</v>
      </c>
      <c r="BI217">
        <v>37.5</v>
      </c>
      <c r="BJ217">
        <v>51.7</v>
      </c>
      <c r="BK217">
        <v>52</v>
      </c>
      <c r="BL217">
        <v>565.11</v>
      </c>
      <c r="BM217">
        <v>84.77</v>
      </c>
      <c r="BN217">
        <v>649.88</v>
      </c>
      <c r="BO217">
        <v>649.88</v>
      </c>
      <c r="BQ217" t="s">
        <v>324</v>
      </c>
      <c r="BR217" t="s">
        <v>97</v>
      </c>
      <c r="BS217" s="3">
        <v>45936</v>
      </c>
      <c r="BT217" s="4">
        <v>0.52916666666666667</v>
      </c>
      <c r="BU217" t="s">
        <v>733</v>
      </c>
      <c r="BV217" t="s">
        <v>86</v>
      </c>
      <c r="BY217">
        <v>181555.20000000001</v>
      </c>
      <c r="CA217" t="s">
        <v>326</v>
      </c>
      <c r="CC217" t="s">
        <v>322</v>
      </c>
      <c r="CD217">
        <v>7646</v>
      </c>
      <c r="CE217" t="s">
        <v>191</v>
      </c>
      <c r="CF217" s="3">
        <v>45937</v>
      </c>
      <c r="CI217">
        <v>3</v>
      </c>
      <c r="CJ217">
        <v>2</v>
      </c>
      <c r="CK217">
        <v>43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"080068268279"</f>
        <v>080068268279</v>
      </c>
      <c r="F218" s="3">
        <v>45932</v>
      </c>
      <c r="G218">
        <v>202607</v>
      </c>
      <c r="H218" t="s">
        <v>79</v>
      </c>
      <c r="I218" t="s">
        <v>80</v>
      </c>
      <c r="J218" t="s">
        <v>91</v>
      </c>
      <c r="K218" t="s">
        <v>78</v>
      </c>
      <c r="L218" t="s">
        <v>206</v>
      </c>
      <c r="M218" t="s">
        <v>207</v>
      </c>
      <c r="N218" t="s">
        <v>734</v>
      </c>
      <c r="O218" t="s">
        <v>82</v>
      </c>
      <c r="P218" t="str">
        <f>"4170062400                    "</f>
        <v xml:space="preserve">4170062400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22.36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70.959999999999994</v>
      </c>
      <c r="BM218">
        <v>10.64</v>
      </c>
      <c r="BN218">
        <v>81.599999999999994</v>
      </c>
      <c r="BO218">
        <v>81.599999999999994</v>
      </c>
      <c r="BQ218" t="s">
        <v>735</v>
      </c>
      <c r="BR218" t="s">
        <v>97</v>
      </c>
      <c r="BS218" s="3">
        <v>45933</v>
      </c>
      <c r="BT218" s="4">
        <v>0.43402777777777779</v>
      </c>
      <c r="BU218" t="s">
        <v>736</v>
      </c>
      <c r="BV218" t="s">
        <v>86</v>
      </c>
      <c r="BY218">
        <v>1200</v>
      </c>
      <c r="BZ218" t="s">
        <v>87</v>
      </c>
      <c r="CA218" t="s">
        <v>480</v>
      </c>
      <c r="CC218" t="s">
        <v>207</v>
      </c>
      <c r="CD218">
        <v>7480</v>
      </c>
      <c r="CE218" t="s">
        <v>120</v>
      </c>
      <c r="CF218" s="3">
        <v>45936</v>
      </c>
      <c r="CI218">
        <v>1</v>
      </c>
      <c r="CJ218">
        <v>1</v>
      </c>
      <c r="CK218">
        <v>21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"080068268294"</f>
        <v>080068268294</v>
      </c>
      <c r="F219" s="3">
        <v>45932</v>
      </c>
      <c r="G219">
        <v>202607</v>
      </c>
      <c r="H219" t="s">
        <v>79</v>
      </c>
      <c r="I219" t="s">
        <v>80</v>
      </c>
      <c r="J219" t="s">
        <v>91</v>
      </c>
      <c r="K219" t="s">
        <v>78</v>
      </c>
      <c r="L219" t="s">
        <v>168</v>
      </c>
      <c r="M219" t="s">
        <v>169</v>
      </c>
      <c r="N219" t="s">
        <v>737</v>
      </c>
      <c r="O219" t="s">
        <v>82</v>
      </c>
      <c r="P219" t="str">
        <f>"4170062483                    "</f>
        <v xml:space="preserve">4170062483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22.36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70.959999999999994</v>
      </c>
      <c r="BM219">
        <v>10.64</v>
      </c>
      <c r="BN219">
        <v>81.599999999999994</v>
      </c>
      <c r="BO219">
        <v>81.599999999999994</v>
      </c>
      <c r="BQ219" t="s">
        <v>738</v>
      </c>
      <c r="BR219" t="s">
        <v>97</v>
      </c>
      <c r="BS219" s="3">
        <v>45933</v>
      </c>
      <c r="BT219" s="4">
        <v>0.38194444444444442</v>
      </c>
      <c r="BU219" t="s">
        <v>739</v>
      </c>
      <c r="BV219" t="s">
        <v>86</v>
      </c>
      <c r="BY219">
        <v>1200</v>
      </c>
      <c r="BZ219" t="s">
        <v>87</v>
      </c>
      <c r="CA219" t="s">
        <v>146</v>
      </c>
      <c r="CC219" t="s">
        <v>169</v>
      </c>
      <c r="CD219" s="5" t="s">
        <v>173</v>
      </c>
      <c r="CE219" t="s">
        <v>120</v>
      </c>
      <c r="CF219" s="3">
        <v>45933</v>
      </c>
      <c r="CI219">
        <v>1</v>
      </c>
      <c r="CJ219">
        <v>1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"080068268306"</f>
        <v>080068268306</v>
      </c>
      <c r="F220" s="3">
        <v>45932</v>
      </c>
      <c r="G220">
        <v>202607</v>
      </c>
      <c r="H220" t="s">
        <v>79</v>
      </c>
      <c r="I220" t="s">
        <v>80</v>
      </c>
      <c r="J220" t="s">
        <v>91</v>
      </c>
      <c r="K220" t="s">
        <v>78</v>
      </c>
      <c r="L220" t="s">
        <v>642</v>
      </c>
      <c r="M220" t="s">
        <v>643</v>
      </c>
      <c r="N220" t="s">
        <v>644</v>
      </c>
      <c r="O220" t="s">
        <v>82</v>
      </c>
      <c r="P220" t="str">
        <f>"4170062717                    "</f>
        <v xml:space="preserve">4170062717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43.31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0.9</v>
      </c>
      <c r="BK220">
        <v>1</v>
      </c>
      <c r="BL220">
        <v>137.47</v>
      </c>
      <c r="BM220">
        <v>20.62</v>
      </c>
      <c r="BN220">
        <v>158.09</v>
      </c>
      <c r="BO220">
        <v>158.09</v>
      </c>
      <c r="BQ220" t="s">
        <v>645</v>
      </c>
      <c r="BR220" t="s">
        <v>97</v>
      </c>
      <c r="BS220" s="3">
        <v>45933</v>
      </c>
      <c r="BT220" s="4">
        <v>0.60416666666666663</v>
      </c>
      <c r="BU220" t="s">
        <v>740</v>
      </c>
      <c r="BV220" t="s">
        <v>86</v>
      </c>
      <c r="BY220">
        <v>4275</v>
      </c>
      <c r="BZ220" t="s">
        <v>87</v>
      </c>
      <c r="CC220" t="s">
        <v>643</v>
      </c>
      <c r="CD220">
        <v>5850</v>
      </c>
      <c r="CE220" t="s">
        <v>101</v>
      </c>
      <c r="CF220" s="3">
        <v>45937</v>
      </c>
      <c r="CI220">
        <v>2</v>
      </c>
      <c r="CJ220">
        <v>1</v>
      </c>
      <c r="CK220">
        <v>23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"080068268318"</f>
        <v>080068268318</v>
      </c>
      <c r="F221" s="3">
        <v>45932</v>
      </c>
      <c r="G221">
        <v>202607</v>
      </c>
      <c r="H221" t="s">
        <v>79</v>
      </c>
      <c r="I221" t="s">
        <v>80</v>
      </c>
      <c r="J221" t="s">
        <v>91</v>
      </c>
      <c r="K221" t="s">
        <v>78</v>
      </c>
      <c r="L221" t="s">
        <v>206</v>
      </c>
      <c r="M221" t="s">
        <v>207</v>
      </c>
      <c r="N221" t="s">
        <v>458</v>
      </c>
      <c r="O221" t="s">
        <v>82</v>
      </c>
      <c r="P221" t="str">
        <f>"4170062381                    "</f>
        <v xml:space="preserve">4170062381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22.36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70.959999999999994</v>
      </c>
      <c r="BM221">
        <v>10.64</v>
      </c>
      <c r="BN221">
        <v>81.599999999999994</v>
      </c>
      <c r="BO221">
        <v>81.599999999999994</v>
      </c>
      <c r="BQ221" t="s">
        <v>459</v>
      </c>
      <c r="BR221" t="s">
        <v>97</v>
      </c>
      <c r="BS221" s="3">
        <v>45933</v>
      </c>
      <c r="BT221" s="4">
        <v>0.42708333333333331</v>
      </c>
      <c r="BU221" t="s">
        <v>460</v>
      </c>
      <c r="BV221" t="s">
        <v>86</v>
      </c>
      <c r="BY221">
        <v>1200</v>
      </c>
      <c r="CA221" t="s">
        <v>461</v>
      </c>
      <c r="CC221" t="s">
        <v>207</v>
      </c>
      <c r="CD221">
        <v>7535</v>
      </c>
      <c r="CE221" t="s">
        <v>147</v>
      </c>
      <c r="CF221" s="3">
        <v>45936</v>
      </c>
      <c r="CI221">
        <v>1</v>
      </c>
      <c r="CJ221">
        <v>1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"080068268363"</f>
        <v>080068268363</v>
      </c>
      <c r="F222" s="3">
        <v>45932</v>
      </c>
      <c r="G222">
        <v>202607</v>
      </c>
      <c r="H222" t="s">
        <v>79</v>
      </c>
      <c r="I222" t="s">
        <v>80</v>
      </c>
      <c r="J222" t="s">
        <v>91</v>
      </c>
      <c r="K222" t="s">
        <v>78</v>
      </c>
      <c r="L222" t="s">
        <v>453</v>
      </c>
      <c r="M222" t="s">
        <v>454</v>
      </c>
      <c r="N222" t="s">
        <v>563</v>
      </c>
      <c r="O222" t="s">
        <v>82</v>
      </c>
      <c r="P222" t="str">
        <f>"4170060136                    "</f>
        <v xml:space="preserve">4170060136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22.36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70.959999999999994</v>
      </c>
      <c r="BM222">
        <v>10.64</v>
      </c>
      <c r="BN222">
        <v>81.599999999999994</v>
      </c>
      <c r="BO222">
        <v>81.599999999999994</v>
      </c>
      <c r="BQ222" t="s">
        <v>564</v>
      </c>
      <c r="BR222" t="s">
        <v>97</v>
      </c>
      <c r="BS222" s="3">
        <v>45933</v>
      </c>
      <c r="BT222" s="4">
        <v>0.4284722222222222</v>
      </c>
      <c r="BU222" t="s">
        <v>741</v>
      </c>
      <c r="BV222" t="s">
        <v>86</v>
      </c>
      <c r="BY222">
        <v>1200</v>
      </c>
      <c r="CA222" t="s">
        <v>742</v>
      </c>
      <c r="CC222" t="s">
        <v>454</v>
      </c>
      <c r="CD222">
        <v>3610</v>
      </c>
      <c r="CE222" t="s">
        <v>147</v>
      </c>
      <c r="CF222" s="3">
        <v>45934</v>
      </c>
      <c r="CI222">
        <v>1</v>
      </c>
      <c r="CJ222">
        <v>1</v>
      </c>
      <c r="CK222">
        <v>21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"080068268393"</f>
        <v>080068268393</v>
      </c>
      <c r="F223" s="3">
        <v>45932</v>
      </c>
      <c r="G223">
        <v>202607</v>
      </c>
      <c r="H223" t="s">
        <v>79</v>
      </c>
      <c r="I223" t="s">
        <v>80</v>
      </c>
      <c r="J223" t="s">
        <v>91</v>
      </c>
      <c r="K223" t="s">
        <v>78</v>
      </c>
      <c r="L223" t="s">
        <v>108</v>
      </c>
      <c r="M223" t="s">
        <v>109</v>
      </c>
      <c r="N223" t="s">
        <v>743</v>
      </c>
      <c r="O223" t="s">
        <v>82</v>
      </c>
      <c r="P223" t="str">
        <f>"4170062583                    "</f>
        <v xml:space="preserve">4170062583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117.29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2</v>
      </c>
      <c r="BI223">
        <v>6</v>
      </c>
      <c r="BJ223">
        <v>10.199999999999999</v>
      </c>
      <c r="BK223">
        <v>10.5</v>
      </c>
      <c r="BL223">
        <v>372.27</v>
      </c>
      <c r="BM223">
        <v>55.84</v>
      </c>
      <c r="BN223">
        <v>428.11</v>
      </c>
      <c r="BO223">
        <v>428.11</v>
      </c>
      <c r="BQ223" t="s">
        <v>744</v>
      </c>
      <c r="BR223" t="s">
        <v>97</v>
      </c>
      <c r="BS223" s="3">
        <v>45933</v>
      </c>
      <c r="BT223" s="4">
        <v>0.4284722222222222</v>
      </c>
      <c r="BU223" t="s">
        <v>745</v>
      </c>
      <c r="BV223" t="s">
        <v>86</v>
      </c>
      <c r="BY223">
        <v>50845</v>
      </c>
      <c r="BZ223" t="s">
        <v>87</v>
      </c>
      <c r="CA223" t="s">
        <v>113</v>
      </c>
      <c r="CC223" t="s">
        <v>109</v>
      </c>
      <c r="CD223">
        <v>6001</v>
      </c>
      <c r="CE223" t="s">
        <v>101</v>
      </c>
      <c r="CF223" s="3">
        <v>45933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"080068268596"</f>
        <v>080068268596</v>
      </c>
      <c r="F224" s="3">
        <v>45932</v>
      </c>
      <c r="G224">
        <v>202607</v>
      </c>
      <c r="H224" t="s">
        <v>79</v>
      </c>
      <c r="I224" t="s">
        <v>80</v>
      </c>
      <c r="J224" t="s">
        <v>91</v>
      </c>
      <c r="K224" t="s">
        <v>78</v>
      </c>
      <c r="L224" t="s">
        <v>114</v>
      </c>
      <c r="M224" t="s">
        <v>115</v>
      </c>
      <c r="N224" t="s">
        <v>746</v>
      </c>
      <c r="O224" t="s">
        <v>82</v>
      </c>
      <c r="P224" t="str">
        <f>"4170062713                    "</f>
        <v xml:space="preserve">4170062713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22.36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70.959999999999994</v>
      </c>
      <c r="BM224">
        <v>10.64</v>
      </c>
      <c r="BN224">
        <v>81.599999999999994</v>
      </c>
      <c r="BO224">
        <v>81.599999999999994</v>
      </c>
      <c r="BQ224" t="s">
        <v>747</v>
      </c>
      <c r="BR224" t="s">
        <v>97</v>
      </c>
      <c r="BS224" s="3">
        <v>45936</v>
      </c>
      <c r="BT224" s="4">
        <v>0.48888888888888887</v>
      </c>
      <c r="BU224" t="s">
        <v>748</v>
      </c>
      <c r="BV224" t="s">
        <v>90</v>
      </c>
      <c r="BY224">
        <v>1200</v>
      </c>
      <c r="CA224" t="s">
        <v>749</v>
      </c>
      <c r="CC224" t="s">
        <v>115</v>
      </c>
      <c r="CD224">
        <v>5200</v>
      </c>
      <c r="CE224" t="s">
        <v>147</v>
      </c>
      <c r="CF224" s="3">
        <v>45937</v>
      </c>
      <c r="CI224">
        <v>1</v>
      </c>
      <c r="CJ224">
        <v>2</v>
      </c>
      <c r="CK224">
        <v>21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"080068268626"</f>
        <v>080068268626</v>
      </c>
      <c r="F225" s="3">
        <v>45932</v>
      </c>
      <c r="G225">
        <v>202607</v>
      </c>
      <c r="H225" t="s">
        <v>79</v>
      </c>
      <c r="I225" t="s">
        <v>80</v>
      </c>
      <c r="J225" t="s">
        <v>91</v>
      </c>
      <c r="K225" t="s">
        <v>78</v>
      </c>
      <c r="L225" t="s">
        <v>121</v>
      </c>
      <c r="M225" t="s">
        <v>122</v>
      </c>
      <c r="N225" t="s">
        <v>159</v>
      </c>
      <c r="O225" t="s">
        <v>82</v>
      </c>
      <c r="P225" t="str">
        <f>"4170062568                    "</f>
        <v xml:space="preserve">4170062568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22.36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70.959999999999994</v>
      </c>
      <c r="BM225">
        <v>10.64</v>
      </c>
      <c r="BN225">
        <v>81.599999999999994</v>
      </c>
      <c r="BO225">
        <v>81.599999999999994</v>
      </c>
      <c r="BQ225" t="s">
        <v>160</v>
      </c>
      <c r="BR225" t="s">
        <v>97</v>
      </c>
      <c r="BS225" s="3">
        <v>45933</v>
      </c>
      <c r="BT225" s="4">
        <v>0.41597222222222224</v>
      </c>
      <c r="BU225" t="s">
        <v>750</v>
      </c>
      <c r="BV225" t="s">
        <v>86</v>
      </c>
      <c r="BY225">
        <v>1200</v>
      </c>
      <c r="CA225" t="s">
        <v>742</v>
      </c>
      <c r="CC225" t="s">
        <v>122</v>
      </c>
      <c r="CD225">
        <v>4000</v>
      </c>
      <c r="CE225" t="s">
        <v>147</v>
      </c>
      <c r="CF225" s="3">
        <v>45934</v>
      </c>
      <c r="CI225">
        <v>1</v>
      </c>
      <c r="CJ225">
        <v>1</v>
      </c>
      <c r="CK225">
        <v>21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"080068268653"</f>
        <v>080068268653</v>
      </c>
      <c r="F226" s="3">
        <v>45932</v>
      </c>
      <c r="G226">
        <v>202607</v>
      </c>
      <c r="H226" t="s">
        <v>79</v>
      </c>
      <c r="I226" t="s">
        <v>80</v>
      </c>
      <c r="J226" t="s">
        <v>91</v>
      </c>
      <c r="K226" t="s">
        <v>78</v>
      </c>
      <c r="L226" t="s">
        <v>108</v>
      </c>
      <c r="M226" t="s">
        <v>109</v>
      </c>
      <c r="N226" t="s">
        <v>751</v>
      </c>
      <c r="O226" t="s">
        <v>82</v>
      </c>
      <c r="P226" t="str">
        <f>"4170062730                    "</f>
        <v xml:space="preserve">4170062730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22.36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70.959999999999994</v>
      </c>
      <c r="BM226">
        <v>10.64</v>
      </c>
      <c r="BN226">
        <v>81.599999999999994</v>
      </c>
      <c r="BO226">
        <v>81.599999999999994</v>
      </c>
      <c r="BQ226" t="s">
        <v>752</v>
      </c>
      <c r="BR226" t="s">
        <v>97</v>
      </c>
      <c r="BS226" s="3">
        <v>45933</v>
      </c>
      <c r="BT226" s="4">
        <v>0.37569444444444444</v>
      </c>
      <c r="BU226" t="s">
        <v>550</v>
      </c>
      <c r="BV226" t="s">
        <v>86</v>
      </c>
      <c r="BY226">
        <v>1200</v>
      </c>
      <c r="BZ226" t="s">
        <v>87</v>
      </c>
      <c r="CA226" t="s">
        <v>551</v>
      </c>
      <c r="CC226" t="s">
        <v>109</v>
      </c>
      <c r="CD226">
        <v>6001</v>
      </c>
      <c r="CE226" t="s">
        <v>120</v>
      </c>
      <c r="CF226" s="3">
        <v>45933</v>
      </c>
      <c r="CI226">
        <v>1</v>
      </c>
      <c r="CJ226">
        <v>1</v>
      </c>
      <c r="CK226">
        <v>21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"080068268662"</f>
        <v>080068268662</v>
      </c>
      <c r="F227" s="3">
        <v>45932</v>
      </c>
      <c r="G227">
        <v>202607</v>
      </c>
      <c r="H227" t="s">
        <v>79</v>
      </c>
      <c r="I227" t="s">
        <v>80</v>
      </c>
      <c r="J227" t="s">
        <v>91</v>
      </c>
      <c r="K227" t="s">
        <v>78</v>
      </c>
      <c r="L227" t="s">
        <v>121</v>
      </c>
      <c r="M227" t="s">
        <v>122</v>
      </c>
      <c r="N227" t="s">
        <v>154</v>
      </c>
      <c r="O227" t="s">
        <v>82</v>
      </c>
      <c r="P227" t="str">
        <f>"4170062676                    "</f>
        <v xml:space="preserve">4170062676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117.29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4</v>
      </c>
      <c r="BJ227">
        <v>10.4</v>
      </c>
      <c r="BK227">
        <v>10.5</v>
      </c>
      <c r="BL227">
        <v>372.27</v>
      </c>
      <c r="BM227">
        <v>55.84</v>
      </c>
      <c r="BN227">
        <v>428.11</v>
      </c>
      <c r="BO227">
        <v>428.11</v>
      </c>
      <c r="BQ227" t="s">
        <v>155</v>
      </c>
      <c r="BR227" t="s">
        <v>97</v>
      </c>
      <c r="BS227" s="3">
        <v>45933</v>
      </c>
      <c r="BT227" s="4">
        <v>0.38194444444444442</v>
      </c>
      <c r="BU227" t="s">
        <v>156</v>
      </c>
      <c r="BV227" t="s">
        <v>86</v>
      </c>
      <c r="BY227">
        <v>52156</v>
      </c>
      <c r="BZ227" t="s">
        <v>87</v>
      </c>
      <c r="CA227" t="s">
        <v>157</v>
      </c>
      <c r="CC227" t="s">
        <v>122</v>
      </c>
      <c r="CD227">
        <v>4052</v>
      </c>
      <c r="CE227" t="s">
        <v>107</v>
      </c>
      <c r="CF227" s="3">
        <v>45933</v>
      </c>
      <c r="CI227">
        <v>1</v>
      </c>
      <c r="CJ227">
        <v>1</v>
      </c>
      <c r="CK227">
        <v>21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"080068268683"</f>
        <v>080068268683</v>
      </c>
      <c r="F228" s="3">
        <v>45932</v>
      </c>
      <c r="G228">
        <v>202607</v>
      </c>
      <c r="H228" t="s">
        <v>79</v>
      </c>
      <c r="I228" t="s">
        <v>80</v>
      </c>
      <c r="J228" t="s">
        <v>91</v>
      </c>
      <c r="K228" t="s">
        <v>78</v>
      </c>
      <c r="L228" t="s">
        <v>453</v>
      </c>
      <c r="M228" t="s">
        <v>454</v>
      </c>
      <c r="N228" t="s">
        <v>665</v>
      </c>
      <c r="O228" t="s">
        <v>82</v>
      </c>
      <c r="P228" t="str">
        <f>"4170062588                    "</f>
        <v xml:space="preserve">4170062588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22.36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70.959999999999994</v>
      </c>
      <c r="BM228">
        <v>10.64</v>
      </c>
      <c r="BN228">
        <v>81.599999999999994</v>
      </c>
      <c r="BO228">
        <v>81.599999999999994</v>
      </c>
      <c r="BQ228" t="s">
        <v>666</v>
      </c>
      <c r="BR228" t="s">
        <v>97</v>
      </c>
      <c r="BS228" s="3">
        <v>45933</v>
      </c>
      <c r="BT228" s="4">
        <v>0.36875000000000002</v>
      </c>
      <c r="BU228" t="s">
        <v>753</v>
      </c>
      <c r="BV228" t="s">
        <v>86</v>
      </c>
      <c r="BY228">
        <v>1200</v>
      </c>
      <c r="CA228" t="s">
        <v>742</v>
      </c>
      <c r="CC228" t="s">
        <v>454</v>
      </c>
      <c r="CD228">
        <v>3610</v>
      </c>
      <c r="CE228" t="s">
        <v>147</v>
      </c>
      <c r="CF228" s="3">
        <v>45934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"080068268707"</f>
        <v>080068268707</v>
      </c>
      <c r="F229" s="3">
        <v>45932</v>
      </c>
      <c r="G229">
        <v>202607</v>
      </c>
      <c r="H229" t="s">
        <v>79</v>
      </c>
      <c r="I229" t="s">
        <v>80</v>
      </c>
      <c r="J229" t="s">
        <v>91</v>
      </c>
      <c r="K229" t="s">
        <v>78</v>
      </c>
      <c r="L229" t="s">
        <v>530</v>
      </c>
      <c r="M229" t="s">
        <v>531</v>
      </c>
      <c r="N229" t="s">
        <v>754</v>
      </c>
      <c r="O229" t="s">
        <v>82</v>
      </c>
      <c r="P229" t="str">
        <f>"4170062613                    "</f>
        <v xml:space="preserve">4170062613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82.43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4</v>
      </c>
      <c r="BJ229">
        <v>3.4</v>
      </c>
      <c r="BK229">
        <v>4</v>
      </c>
      <c r="BL229">
        <v>261.63</v>
      </c>
      <c r="BM229">
        <v>39.24</v>
      </c>
      <c r="BN229">
        <v>300.87</v>
      </c>
      <c r="BO229">
        <v>300.87</v>
      </c>
      <c r="BQ229" t="s">
        <v>755</v>
      </c>
      <c r="BR229" t="s">
        <v>97</v>
      </c>
      <c r="BS229" s="3">
        <v>45933</v>
      </c>
      <c r="BT229" s="4">
        <v>0.50138888888888888</v>
      </c>
      <c r="BU229" t="s">
        <v>756</v>
      </c>
      <c r="BV229" t="s">
        <v>86</v>
      </c>
      <c r="BY229">
        <v>16965</v>
      </c>
      <c r="CA229" t="s">
        <v>535</v>
      </c>
      <c r="CC229" t="s">
        <v>531</v>
      </c>
      <c r="CD229">
        <v>6850</v>
      </c>
      <c r="CE229" t="s">
        <v>191</v>
      </c>
      <c r="CF229" s="3">
        <v>45936</v>
      </c>
      <c r="CI229">
        <v>2</v>
      </c>
      <c r="CJ229">
        <v>1</v>
      </c>
      <c r="CK229">
        <v>23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"080068268721"</f>
        <v>080068268721</v>
      </c>
      <c r="F230" s="3">
        <v>45932</v>
      </c>
      <c r="G230">
        <v>202607</v>
      </c>
      <c r="H230" t="s">
        <v>79</v>
      </c>
      <c r="I230" t="s">
        <v>80</v>
      </c>
      <c r="J230" t="s">
        <v>91</v>
      </c>
      <c r="K230" t="s">
        <v>78</v>
      </c>
      <c r="L230" t="s">
        <v>121</v>
      </c>
      <c r="M230" t="s">
        <v>122</v>
      </c>
      <c r="N230" t="s">
        <v>123</v>
      </c>
      <c r="O230" t="s">
        <v>82</v>
      </c>
      <c r="P230" t="str">
        <f>"4170062773                    "</f>
        <v xml:space="preserve">4170062773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22.36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70.959999999999994</v>
      </c>
      <c r="BM230">
        <v>10.64</v>
      </c>
      <c r="BN230">
        <v>81.599999999999994</v>
      </c>
      <c r="BO230">
        <v>81.599999999999994</v>
      </c>
      <c r="BQ230" t="s">
        <v>124</v>
      </c>
      <c r="BR230" t="s">
        <v>97</v>
      </c>
      <c r="BS230" s="3">
        <v>45933</v>
      </c>
      <c r="BT230" s="4">
        <v>0.33819444444444446</v>
      </c>
      <c r="BU230" t="s">
        <v>757</v>
      </c>
      <c r="BV230" t="s">
        <v>86</v>
      </c>
      <c r="BY230">
        <v>1200</v>
      </c>
      <c r="BZ230" t="s">
        <v>87</v>
      </c>
      <c r="CA230" t="s">
        <v>758</v>
      </c>
      <c r="CC230" t="s">
        <v>122</v>
      </c>
      <c r="CD230">
        <v>4000</v>
      </c>
      <c r="CE230" t="s">
        <v>120</v>
      </c>
      <c r="CF230" s="3">
        <v>45933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"080068268746"</f>
        <v>080068268746</v>
      </c>
      <c r="F231" s="3">
        <v>45932</v>
      </c>
      <c r="G231">
        <v>202607</v>
      </c>
      <c r="H231" t="s">
        <v>79</v>
      </c>
      <c r="I231" t="s">
        <v>80</v>
      </c>
      <c r="J231" t="s">
        <v>91</v>
      </c>
      <c r="K231" t="s">
        <v>78</v>
      </c>
      <c r="L231" t="s">
        <v>114</v>
      </c>
      <c r="M231" t="s">
        <v>115</v>
      </c>
      <c r="N231" t="s">
        <v>116</v>
      </c>
      <c r="O231" t="s">
        <v>82</v>
      </c>
      <c r="P231" t="str">
        <f>"4170062604                    "</f>
        <v xml:space="preserve">4170062604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22.36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1.9</v>
      </c>
      <c r="BK231">
        <v>2</v>
      </c>
      <c r="BL231">
        <v>70.959999999999994</v>
      </c>
      <c r="BM231">
        <v>10.64</v>
      </c>
      <c r="BN231">
        <v>81.599999999999994</v>
      </c>
      <c r="BO231">
        <v>81.599999999999994</v>
      </c>
      <c r="BQ231" t="s">
        <v>117</v>
      </c>
      <c r="BR231" t="s">
        <v>97</v>
      </c>
      <c r="BS231" s="3">
        <v>45936</v>
      </c>
      <c r="BT231" s="4">
        <v>0.65208333333333335</v>
      </c>
      <c r="BU231" t="s">
        <v>759</v>
      </c>
      <c r="BV231" t="s">
        <v>90</v>
      </c>
      <c r="BY231">
        <v>9600</v>
      </c>
      <c r="CA231" t="s">
        <v>760</v>
      </c>
      <c r="CC231" t="s">
        <v>115</v>
      </c>
      <c r="CD231">
        <v>5200</v>
      </c>
      <c r="CE231" t="s">
        <v>191</v>
      </c>
      <c r="CF231" s="3">
        <v>45937</v>
      </c>
      <c r="CI231">
        <v>1</v>
      </c>
      <c r="CJ231">
        <v>2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"080068268888"</f>
        <v>080068268888</v>
      </c>
      <c r="F232" s="3">
        <v>45932</v>
      </c>
      <c r="G232">
        <v>202607</v>
      </c>
      <c r="H232" t="s">
        <v>79</v>
      </c>
      <c r="I232" t="s">
        <v>80</v>
      </c>
      <c r="J232" t="s">
        <v>91</v>
      </c>
      <c r="K232" t="s">
        <v>78</v>
      </c>
      <c r="L232" t="s">
        <v>108</v>
      </c>
      <c r="M232" t="s">
        <v>109</v>
      </c>
      <c r="N232" t="s">
        <v>312</v>
      </c>
      <c r="O232" t="s">
        <v>82</v>
      </c>
      <c r="P232" t="str">
        <f>"4170062738                    "</f>
        <v xml:space="preserve">4170062738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33.520000000000003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</v>
      </c>
      <c r="BJ232">
        <v>1.9</v>
      </c>
      <c r="BK232">
        <v>3</v>
      </c>
      <c r="BL232">
        <v>106.4</v>
      </c>
      <c r="BM232">
        <v>15.96</v>
      </c>
      <c r="BN232">
        <v>122.36</v>
      </c>
      <c r="BO232">
        <v>122.36</v>
      </c>
      <c r="BQ232" t="s">
        <v>313</v>
      </c>
      <c r="BR232" t="s">
        <v>97</v>
      </c>
      <c r="BS232" s="3">
        <v>45933</v>
      </c>
      <c r="BT232" s="4">
        <v>0.43055555555555558</v>
      </c>
      <c r="BU232" t="s">
        <v>761</v>
      </c>
      <c r="BV232" t="s">
        <v>86</v>
      </c>
      <c r="BY232">
        <v>9600</v>
      </c>
      <c r="BZ232" t="s">
        <v>87</v>
      </c>
      <c r="CA232" t="s">
        <v>762</v>
      </c>
      <c r="CC232" t="s">
        <v>109</v>
      </c>
      <c r="CD232">
        <v>6001</v>
      </c>
      <c r="CE232" t="s">
        <v>101</v>
      </c>
      <c r="CF232" s="3">
        <v>45933</v>
      </c>
      <c r="CI232">
        <v>1</v>
      </c>
      <c r="CJ232">
        <v>1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"080068268927"</f>
        <v>080068268927</v>
      </c>
      <c r="F233" s="3">
        <v>45932</v>
      </c>
      <c r="G233">
        <v>202607</v>
      </c>
      <c r="H233" t="s">
        <v>79</v>
      </c>
      <c r="I233" t="s">
        <v>80</v>
      </c>
      <c r="J233" t="s">
        <v>91</v>
      </c>
      <c r="K233" t="s">
        <v>78</v>
      </c>
      <c r="L233" t="s">
        <v>763</v>
      </c>
      <c r="M233" t="s">
        <v>764</v>
      </c>
      <c r="N233" t="s">
        <v>765</v>
      </c>
      <c r="O233" t="s">
        <v>82</v>
      </c>
      <c r="P233" t="str">
        <f>"4170062616                    "</f>
        <v xml:space="preserve">4170062616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43.31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137.47</v>
      </c>
      <c r="BM233">
        <v>20.62</v>
      </c>
      <c r="BN233">
        <v>158.09</v>
      </c>
      <c r="BO233">
        <v>158.09</v>
      </c>
      <c r="BQ233" t="s">
        <v>766</v>
      </c>
      <c r="BR233" t="s">
        <v>97</v>
      </c>
      <c r="BS233" s="3">
        <v>45933</v>
      </c>
      <c r="BT233" s="4">
        <v>0.41041666666666665</v>
      </c>
      <c r="BU233" t="s">
        <v>767</v>
      </c>
      <c r="BV233" t="s">
        <v>86</v>
      </c>
      <c r="BY233">
        <v>1200</v>
      </c>
      <c r="CA233" t="s">
        <v>768</v>
      </c>
      <c r="CC233" t="s">
        <v>764</v>
      </c>
      <c r="CD233">
        <v>2531</v>
      </c>
      <c r="CE233" t="s">
        <v>147</v>
      </c>
      <c r="CF233" s="3">
        <v>45936</v>
      </c>
      <c r="CI233">
        <v>1</v>
      </c>
      <c r="CJ233">
        <v>1</v>
      </c>
      <c r="CK233">
        <v>23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"080068268950"</f>
        <v>080068268950</v>
      </c>
      <c r="F234" s="3">
        <v>45932</v>
      </c>
      <c r="G234">
        <v>202607</v>
      </c>
      <c r="H234" t="s">
        <v>79</v>
      </c>
      <c r="I234" t="s">
        <v>80</v>
      </c>
      <c r="J234" t="s">
        <v>91</v>
      </c>
      <c r="K234" t="s">
        <v>78</v>
      </c>
      <c r="L234" t="s">
        <v>206</v>
      </c>
      <c r="M234" t="s">
        <v>207</v>
      </c>
      <c r="N234" t="s">
        <v>208</v>
      </c>
      <c r="O234" t="s">
        <v>82</v>
      </c>
      <c r="P234" t="str">
        <f>"4170062638                    "</f>
        <v xml:space="preserve">4170062638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22.36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70.959999999999994</v>
      </c>
      <c r="BM234">
        <v>10.64</v>
      </c>
      <c r="BN234">
        <v>81.599999999999994</v>
      </c>
      <c r="BO234">
        <v>81.599999999999994</v>
      </c>
      <c r="BQ234" t="s">
        <v>209</v>
      </c>
      <c r="BR234" t="s">
        <v>97</v>
      </c>
      <c r="BS234" s="3">
        <v>45933</v>
      </c>
      <c r="BT234" s="4">
        <v>0.38819444444444445</v>
      </c>
      <c r="BU234" t="s">
        <v>769</v>
      </c>
      <c r="BV234" t="s">
        <v>86</v>
      </c>
      <c r="BY234">
        <v>1200</v>
      </c>
      <c r="BZ234" t="s">
        <v>87</v>
      </c>
      <c r="CA234" t="s">
        <v>770</v>
      </c>
      <c r="CC234" t="s">
        <v>207</v>
      </c>
      <c r="CD234">
        <v>7441</v>
      </c>
      <c r="CE234" t="s">
        <v>120</v>
      </c>
      <c r="CF234" s="3">
        <v>45936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"080068269995"</f>
        <v>080068269995</v>
      </c>
      <c r="F235" s="3">
        <v>45932</v>
      </c>
      <c r="G235">
        <v>202607</v>
      </c>
      <c r="H235" t="s">
        <v>79</v>
      </c>
      <c r="I235" t="s">
        <v>80</v>
      </c>
      <c r="J235" t="s">
        <v>91</v>
      </c>
      <c r="K235" t="s">
        <v>78</v>
      </c>
      <c r="L235" t="s">
        <v>168</v>
      </c>
      <c r="M235" t="s">
        <v>169</v>
      </c>
      <c r="N235" t="s">
        <v>339</v>
      </c>
      <c r="O235" t="s">
        <v>95</v>
      </c>
      <c r="P235" t="str">
        <f>"4170062410                    "</f>
        <v xml:space="preserve">4170062410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43.23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5</v>
      </c>
      <c r="BJ235">
        <v>1.7</v>
      </c>
      <c r="BK235">
        <v>5</v>
      </c>
      <c r="BL235">
        <v>143.08000000000001</v>
      </c>
      <c r="BM235">
        <v>21.46</v>
      </c>
      <c r="BN235">
        <v>164.54</v>
      </c>
      <c r="BO235">
        <v>164.54</v>
      </c>
      <c r="BQ235" t="s">
        <v>340</v>
      </c>
      <c r="BR235" t="s">
        <v>97</v>
      </c>
      <c r="BS235" s="3">
        <v>45933</v>
      </c>
      <c r="BT235" s="4">
        <v>0.59305555555555556</v>
      </c>
      <c r="BU235" t="s">
        <v>341</v>
      </c>
      <c r="BV235" t="s">
        <v>86</v>
      </c>
      <c r="BY235">
        <v>8550</v>
      </c>
      <c r="CC235" t="s">
        <v>169</v>
      </c>
      <c r="CD235" s="5" t="s">
        <v>190</v>
      </c>
      <c r="CE235" t="s">
        <v>191</v>
      </c>
      <c r="CF235" s="3">
        <v>45936</v>
      </c>
      <c r="CI235">
        <v>1</v>
      </c>
      <c r="CJ235">
        <v>1</v>
      </c>
      <c r="CK235">
        <v>41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"080068270014"</f>
        <v>080068270014</v>
      </c>
      <c r="F236" s="3">
        <v>45932</v>
      </c>
      <c r="G236">
        <v>202607</v>
      </c>
      <c r="H236" t="s">
        <v>79</v>
      </c>
      <c r="I236" t="s">
        <v>80</v>
      </c>
      <c r="J236" t="s">
        <v>91</v>
      </c>
      <c r="K236" t="s">
        <v>78</v>
      </c>
      <c r="L236" t="s">
        <v>148</v>
      </c>
      <c r="M236" t="s">
        <v>149</v>
      </c>
      <c r="N236" t="s">
        <v>465</v>
      </c>
      <c r="O236" t="s">
        <v>82</v>
      </c>
      <c r="P236" t="str">
        <f>"4170062716                    "</f>
        <v xml:space="preserve">4170062716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17.46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55.42</v>
      </c>
      <c r="BM236">
        <v>8.31</v>
      </c>
      <c r="BN236">
        <v>63.73</v>
      </c>
      <c r="BO236">
        <v>63.73</v>
      </c>
      <c r="BQ236" t="s">
        <v>466</v>
      </c>
      <c r="BR236" t="s">
        <v>97</v>
      </c>
      <c r="BS236" s="3">
        <v>45933</v>
      </c>
      <c r="BT236" s="4">
        <v>0.43958333333333333</v>
      </c>
      <c r="BU236" t="s">
        <v>518</v>
      </c>
      <c r="BV236" t="s">
        <v>90</v>
      </c>
      <c r="BW236" t="s">
        <v>771</v>
      </c>
      <c r="BX236" t="s">
        <v>772</v>
      </c>
      <c r="BY236">
        <v>1200</v>
      </c>
      <c r="BZ236" t="s">
        <v>87</v>
      </c>
      <c r="CA236" t="s">
        <v>773</v>
      </c>
      <c r="CC236" t="s">
        <v>149</v>
      </c>
      <c r="CD236">
        <v>2094</v>
      </c>
      <c r="CE236" t="s">
        <v>120</v>
      </c>
      <c r="CF236" s="3">
        <v>45933</v>
      </c>
      <c r="CI236">
        <v>1</v>
      </c>
      <c r="CJ236">
        <v>1</v>
      </c>
      <c r="CK236">
        <v>22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"080068270034"</f>
        <v>080068270034</v>
      </c>
      <c r="F237" s="3">
        <v>45932</v>
      </c>
      <c r="G237">
        <v>202607</v>
      </c>
      <c r="H237" t="s">
        <v>79</v>
      </c>
      <c r="I237" t="s">
        <v>80</v>
      </c>
      <c r="J237" t="s">
        <v>91</v>
      </c>
      <c r="K237" t="s">
        <v>78</v>
      </c>
      <c r="L237" t="s">
        <v>114</v>
      </c>
      <c r="M237" t="s">
        <v>115</v>
      </c>
      <c r="N237" t="s">
        <v>774</v>
      </c>
      <c r="O237" t="s">
        <v>82</v>
      </c>
      <c r="P237" t="str">
        <f>"4170062719                    "</f>
        <v xml:space="preserve">4170062719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22.36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70.959999999999994</v>
      </c>
      <c r="BM237">
        <v>10.64</v>
      </c>
      <c r="BN237">
        <v>81.599999999999994</v>
      </c>
      <c r="BO237">
        <v>81.599999999999994</v>
      </c>
      <c r="BQ237" t="s">
        <v>775</v>
      </c>
      <c r="BR237" t="s">
        <v>97</v>
      </c>
      <c r="BS237" s="3">
        <v>45936</v>
      </c>
      <c r="BT237" s="4">
        <v>0.65486111111111112</v>
      </c>
      <c r="BU237" t="s">
        <v>776</v>
      </c>
      <c r="BV237" t="s">
        <v>86</v>
      </c>
      <c r="BY237">
        <v>1200</v>
      </c>
      <c r="CA237" t="s">
        <v>760</v>
      </c>
      <c r="CC237" t="s">
        <v>115</v>
      </c>
      <c r="CD237">
        <v>5201</v>
      </c>
      <c r="CE237" t="s">
        <v>147</v>
      </c>
      <c r="CF237" s="3">
        <v>45937</v>
      </c>
      <c r="CI237">
        <v>5</v>
      </c>
      <c r="CJ237">
        <v>2</v>
      </c>
      <c r="CK237">
        <v>21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"080068270055"</f>
        <v>080068270055</v>
      </c>
      <c r="F238" s="3">
        <v>45932</v>
      </c>
      <c r="G238">
        <v>202607</v>
      </c>
      <c r="H238" t="s">
        <v>79</v>
      </c>
      <c r="I238" t="s">
        <v>80</v>
      </c>
      <c r="J238" t="s">
        <v>91</v>
      </c>
      <c r="K238" t="s">
        <v>78</v>
      </c>
      <c r="L238" t="s">
        <v>206</v>
      </c>
      <c r="M238" t="s">
        <v>207</v>
      </c>
      <c r="N238" t="s">
        <v>656</v>
      </c>
      <c r="O238" t="s">
        <v>82</v>
      </c>
      <c r="P238" t="str">
        <f>"4170062733                    "</f>
        <v xml:space="preserve">4170062733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22.36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70.959999999999994</v>
      </c>
      <c r="BM238">
        <v>10.64</v>
      </c>
      <c r="BN238">
        <v>81.599999999999994</v>
      </c>
      <c r="BO238">
        <v>81.599999999999994</v>
      </c>
      <c r="BQ238" t="s">
        <v>657</v>
      </c>
      <c r="BR238" t="s">
        <v>97</v>
      </c>
      <c r="BS238" s="3">
        <v>45933</v>
      </c>
      <c r="BT238" s="4">
        <v>0.4236111111111111</v>
      </c>
      <c r="BU238" t="s">
        <v>777</v>
      </c>
      <c r="BV238" t="s">
        <v>86</v>
      </c>
      <c r="BY238">
        <v>1200</v>
      </c>
      <c r="BZ238" t="s">
        <v>87</v>
      </c>
      <c r="CA238" t="s">
        <v>770</v>
      </c>
      <c r="CC238" t="s">
        <v>207</v>
      </c>
      <c r="CD238">
        <v>7441</v>
      </c>
      <c r="CE238" t="s">
        <v>120</v>
      </c>
      <c r="CF238" s="3">
        <v>45936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"080068270084"</f>
        <v>080068270084</v>
      </c>
      <c r="F239" s="3">
        <v>45932</v>
      </c>
      <c r="G239">
        <v>202607</v>
      </c>
      <c r="H239" t="s">
        <v>79</v>
      </c>
      <c r="I239" t="s">
        <v>80</v>
      </c>
      <c r="J239" t="s">
        <v>91</v>
      </c>
      <c r="K239" t="s">
        <v>78</v>
      </c>
      <c r="L239" t="s">
        <v>168</v>
      </c>
      <c r="M239" t="s">
        <v>169</v>
      </c>
      <c r="N239" t="s">
        <v>778</v>
      </c>
      <c r="O239" t="s">
        <v>82</v>
      </c>
      <c r="P239" t="str">
        <f>"4170062745                    "</f>
        <v xml:space="preserve">4170062745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22.36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70.959999999999994</v>
      </c>
      <c r="BM239">
        <v>10.64</v>
      </c>
      <c r="BN239">
        <v>81.599999999999994</v>
      </c>
      <c r="BO239">
        <v>81.599999999999994</v>
      </c>
      <c r="BQ239" t="s">
        <v>779</v>
      </c>
      <c r="BR239" t="s">
        <v>97</v>
      </c>
      <c r="BS239" s="3">
        <v>45933</v>
      </c>
      <c r="BT239" s="4">
        <v>0.58402777777777781</v>
      </c>
      <c r="BU239" t="s">
        <v>780</v>
      </c>
      <c r="BV239" t="s">
        <v>90</v>
      </c>
      <c r="BW239" t="s">
        <v>188</v>
      </c>
      <c r="BX239" t="s">
        <v>189</v>
      </c>
      <c r="BY239">
        <v>1200</v>
      </c>
      <c r="CC239" t="s">
        <v>169</v>
      </c>
      <c r="CD239" s="5" t="s">
        <v>190</v>
      </c>
      <c r="CE239" t="s">
        <v>147</v>
      </c>
      <c r="CF239" s="3">
        <v>45936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"080068270668"</f>
        <v>080068270668</v>
      </c>
      <c r="F240" s="3">
        <v>45932</v>
      </c>
      <c r="G240">
        <v>202607</v>
      </c>
      <c r="H240" t="s">
        <v>79</v>
      </c>
      <c r="I240" t="s">
        <v>80</v>
      </c>
      <c r="J240" t="s">
        <v>91</v>
      </c>
      <c r="K240" t="s">
        <v>78</v>
      </c>
      <c r="L240" t="s">
        <v>79</v>
      </c>
      <c r="M240" t="s">
        <v>80</v>
      </c>
      <c r="N240" t="s">
        <v>539</v>
      </c>
      <c r="O240" t="s">
        <v>82</v>
      </c>
      <c r="P240" t="str">
        <f>"4170062727                    "</f>
        <v xml:space="preserve">4170062727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17.46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3</v>
      </c>
      <c r="BJ240">
        <v>1.9</v>
      </c>
      <c r="BK240">
        <v>3</v>
      </c>
      <c r="BL240">
        <v>55.42</v>
      </c>
      <c r="BM240">
        <v>8.31</v>
      </c>
      <c r="BN240">
        <v>63.73</v>
      </c>
      <c r="BO240">
        <v>63.73</v>
      </c>
      <c r="BQ240" t="s">
        <v>540</v>
      </c>
      <c r="BR240" t="s">
        <v>97</v>
      </c>
      <c r="BS240" s="3">
        <v>45933</v>
      </c>
      <c r="BT240" s="4">
        <v>0.38958333333333334</v>
      </c>
      <c r="BU240" t="s">
        <v>781</v>
      </c>
      <c r="BV240" t="s">
        <v>86</v>
      </c>
      <c r="BY240">
        <v>9576</v>
      </c>
      <c r="CA240" t="s">
        <v>280</v>
      </c>
      <c r="CC240" t="s">
        <v>80</v>
      </c>
      <c r="CD240">
        <v>1614</v>
      </c>
      <c r="CE240" t="s">
        <v>191</v>
      </c>
      <c r="CF240" s="3">
        <v>45934</v>
      </c>
      <c r="CI240">
        <v>1</v>
      </c>
      <c r="CJ240">
        <v>1</v>
      </c>
      <c r="CK240">
        <v>22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"080068270703"</f>
        <v>080068270703</v>
      </c>
      <c r="F241" s="3">
        <v>45932</v>
      </c>
      <c r="G241">
        <v>202607</v>
      </c>
      <c r="H241" t="s">
        <v>79</v>
      </c>
      <c r="I241" t="s">
        <v>80</v>
      </c>
      <c r="J241" t="s">
        <v>91</v>
      </c>
      <c r="K241" t="s">
        <v>78</v>
      </c>
      <c r="L241" t="s">
        <v>168</v>
      </c>
      <c r="M241" t="s">
        <v>169</v>
      </c>
      <c r="N241" t="s">
        <v>584</v>
      </c>
      <c r="O241" t="s">
        <v>95</v>
      </c>
      <c r="P241" t="str">
        <f>"4170062756                    "</f>
        <v xml:space="preserve">4170062756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43.23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7</v>
      </c>
      <c r="BJ241">
        <v>4.5</v>
      </c>
      <c r="BK241">
        <v>7</v>
      </c>
      <c r="BL241">
        <v>143.08000000000001</v>
      </c>
      <c r="BM241">
        <v>21.46</v>
      </c>
      <c r="BN241">
        <v>164.54</v>
      </c>
      <c r="BO241">
        <v>164.54</v>
      </c>
      <c r="BQ241" t="s">
        <v>585</v>
      </c>
      <c r="BR241" t="s">
        <v>97</v>
      </c>
      <c r="BS241" s="3">
        <v>45936</v>
      </c>
      <c r="BT241" s="4">
        <v>0.36944444444444446</v>
      </c>
      <c r="BU241" t="s">
        <v>148</v>
      </c>
      <c r="BV241" t="s">
        <v>90</v>
      </c>
      <c r="BW241" t="s">
        <v>188</v>
      </c>
      <c r="BX241" t="s">
        <v>189</v>
      </c>
      <c r="BY241">
        <v>22620</v>
      </c>
      <c r="CC241" t="s">
        <v>169</v>
      </c>
      <c r="CD241" s="5" t="s">
        <v>190</v>
      </c>
      <c r="CE241" t="s">
        <v>191</v>
      </c>
      <c r="CF241" s="3">
        <v>45936</v>
      </c>
      <c r="CI241">
        <v>1</v>
      </c>
      <c r="CJ241">
        <v>2</v>
      </c>
      <c r="CK241">
        <v>41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"080068270720"</f>
        <v>080068270720</v>
      </c>
      <c r="F242" s="3">
        <v>45932</v>
      </c>
      <c r="G242">
        <v>202607</v>
      </c>
      <c r="H242" t="s">
        <v>79</v>
      </c>
      <c r="I242" t="s">
        <v>80</v>
      </c>
      <c r="J242" t="s">
        <v>91</v>
      </c>
      <c r="K242" t="s">
        <v>78</v>
      </c>
      <c r="L242" t="s">
        <v>206</v>
      </c>
      <c r="M242" t="s">
        <v>207</v>
      </c>
      <c r="N242" t="s">
        <v>656</v>
      </c>
      <c r="O242" t="s">
        <v>82</v>
      </c>
      <c r="P242" t="str">
        <f>"4170062622                    "</f>
        <v xml:space="preserve">4170062622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22.36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70.959999999999994</v>
      </c>
      <c r="BM242">
        <v>10.64</v>
      </c>
      <c r="BN242">
        <v>81.599999999999994</v>
      </c>
      <c r="BO242">
        <v>81.599999999999994</v>
      </c>
      <c r="BQ242" t="s">
        <v>657</v>
      </c>
      <c r="BR242" t="s">
        <v>97</v>
      </c>
      <c r="BS242" s="3">
        <v>45933</v>
      </c>
      <c r="BT242" s="4">
        <v>0.4236111111111111</v>
      </c>
      <c r="BU242" t="s">
        <v>777</v>
      </c>
      <c r="BV242" t="s">
        <v>86</v>
      </c>
      <c r="BY242">
        <v>1200</v>
      </c>
      <c r="BZ242" t="s">
        <v>87</v>
      </c>
      <c r="CA242" t="s">
        <v>770</v>
      </c>
      <c r="CC242" t="s">
        <v>207</v>
      </c>
      <c r="CD242">
        <v>7441</v>
      </c>
      <c r="CE242" t="s">
        <v>120</v>
      </c>
      <c r="CF242" s="3">
        <v>45936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"080068270722"</f>
        <v>080068270722</v>
      </c>
      <c r="F243" s="3">
        <v>45932</v>
      </c>
      <c r="G243">
        <v>202607</v>
      </c>
      <c r="H243" t="s">
        <v>79</v>
      </c>
      <c r="I243" t="s">
        <v>80</v>
      </c>
      <c r="J243" t="s">
        <v>91</v>
      </c>
      <c r="K243" t="s">
        <v>78</v>
      </c>
      <c r="L243" t="s">
        <v>446</v>
      </c>
      <c r="M243" t="s">
        <v>447</v>
      </c>
      <c r="N243" t="s">
        <v>448</v>
      </c>
      <c r="O243" t="s">
        <v>82</v>
      </c>
      <c r="P243" t="str">
        <f>"4170062452                    "</f>
        <v xml:space="preserve">4170062452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43.31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1.7</v>
      </c>
      <c r="BK243">
        <v>2</v>
      </c>
      <c r="BL243">
        <v>137.47</v>
      </c>
      <c r="BM243">
        <v>20.62</v>
      </c>
      <c r="BN243">
        <v>158.09</v>
      </c>
      <c r="BO243">
        <v>158.09</v>
      </c>
      <c r="BQ243" t="s">
        <v>449</v>
      </c>
      <c r="BR243" t="s">
        <v>97</v>
      </c>
      <c r="BS243" s="3">
        <v>45933</v>
      </c>
      <c r="BT243" s="4">
        <v>0.44583333333333336</v>
      </c>
      <c r="BU243" t="s">
        <v>782</v>
      </c>
      <c r="BV243" t="s">
        <v>86</v>
      </c>
      <c r="BY243">
        <v>8550</v>
      </c>
      <c r="BZ243" t="s">
        <v>87</v>
      </c>
      <c r="CA243" t="s">
        <v>783</v>
      </c>
      <c r="CC243" t="s">
        <v>447</v>
      </c>
      <c r="CD243">
        <v>7130</v>
      </c>
      <c r="CE243" t="s">
        <v>101</v>
      </c>
      <c r="CF243" s="3">
        <v>45936</v>
      </c>
      <c r="CI243">
        <v>1</v>
      </c>
      <c r="CJ243">
        <v>1</v>
      </c>
      <c r="CK243">
        <v>23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"080068270740"</f>
        <v>080068270740</v>
      </c>
      <c r="F244" s="3">
        <v>45932</v>
      </c>
      <c r="G244">
        <v>202607</v>
      </c>
      <c r="H244" t="s">
        <v>79</v>
      </c>
      <c r="I244" t="s">
        <v>80</v>
      </c>
      <c r="J244" t="s">
        <v>91</v>
      </c>
      <c r="K244" t="s">
        <v>78</v>
      </c>
      <c r="L244" t="s">
        <v>206</v>
      </c>
      <c r="M244" t="s">
        <v>207</v>
      </c>
      <c r="N244" t="s">
        <v>611</v>
      </c>
      <c r="O244" t="s">
        <v>82</v>
      </c>
      <c r="P244" t="str">
        <f>"4170062735                    "</f>
        <v xml:space="preserve">4170062735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22.36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70.959999999999994</v>
      </c>
      <c r="BM244">
        <v>10.64</v>
      </c>
      <c r="BN244">
        <v>81.599999999999994</v>
      </c>
      <c r="BO244">
        <v>81.599999999999994</v>
      </c>
      <c r="BQ244" t="s">
        <v>612</v>
      </c>
      <c r="BR244" t="s">
        <v>97</v>
      </c>
      <c r="BS244" s="3">
        <v>45933</v>
      </c>
      <c r="BT244" s="4">
        <v>0.34375</v>
      </c>
      <c r="BU244" t="s">
        <v>784</v>
      </c>
      <c r="BV244" t="s">
        <v>86</v>
      </c>
      <c r="BY244">
        <v>1200</v>
      </c>
      <c r="BZ244" t="s">
        <v>87</v>
      </c>
      <c r="CA244" t="s">
        <v>785</v>
      </c>
      <c r="CC244" t="s">
        <v>207</v>
      </c>
      <c r="CD244">
        <v>7530</v>
      </c>
      <c r="CE244" t="s">
        <v>120</v>
      </c>
      <c r="CF244" s="3">
        <v>45936</v>
      </c>
      <c r="CI244">
        <v>1</v>
      </c>
      <c r="CJ244">
        <v>1</v>
      </c>
      <c r="CK244">
        <v>21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"080068270744"</f>
        <v>080068270744</v>
      </c>
      <c r="F245" s="3">
        <v>45932</v>
      </c>
      <c r="G245">
        <v>202607</v>
      </c>
      <c r="H245" t="s">
        <v>79</v>
      </c>
      <c r="I245" t="s">
        <v>80</v>
      </c>
      <c r="J245" t="s">
        <v>91</v>
      </c>
      <c r="K245" t="s">
        <v>78</v>
      </c>
      <c r="L245" t="s">
        <v>453</v>
      </c>
      <c r="M245" t="s">
        <v>454</v>
      </c>
      <c r="N245" t="s">
        <v>639</v>
      </c>
      <c r="O245" t="s">
        <v>95</v>
      </c>
      <c r="P245" t="str">
        <f>"4170062737                    "</f>
        <v xml:space="preserve">4170062737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48.59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12</v>
      </c>
      <c r="BJ245">
        <v>17.7</v>
      </c>
      <c r="BK245">
        <v>18</v>
      </c>
      <c r="BL245">
        <v>160.08000000000001</v>
      </c>
      <c r="BM245">
        <v>24.01</v>
      </c>
      <c r="BN245">
        <v>184.09</v>
      </c>
      <c r="BO245">
        <v>184.09</v>
      </c>
      <c r="BQ245" t="s">
        <v>786</v>
      </c>
      <c r="BR245" t="s">
        <v>97</v>
      </c>
      <c r="BS245" s="3">
        <v>45936</v>
      </c>
      <c r="BT245" s="4">
        <v>0.43402777777777779</v>
      </c>
      <c r="BU245" t="s">
        <v>641</v>
      </c>
      <c r="BV245" t="s">
        <v>90</v>
      </c>
      <c r="BW245" t="s">
        <v>136</v>
      </c>
      <c r="BX245" t="s">
        <v>787</v>
      </c>
      <c r="BY245">
        <v>88320</v>
      </c>
      <c r="CA245" t="s">
        <v>457</v>
      </c>
      <c r="CC245" t="s">
        <v>454</v>
      </c>
      <c r="CD245">
        <v>3610</v>
      </c>
      <c r="CE245" t="s">
        <v>191</v>
      </c>
      <c r="CF245" s="3">
        <v>45936</v>
      </c>
      <c r="CI245">
        <v>1</v>
      </c>
      <c r="CJ245">
        <v>2</v>
      </c>
      <c r="CK245">
        <v>41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"080068271101"</f>
        <v>080068271101</v>
      </c>
      <c r="F246" s="3">
        <v>45932</v>
      </c>
      <c r="G246">
        <v>202607</v>
      </c>
      <c r="H246" t="s">
        <v>79</v>
      </c>
      <c r="I246" t="s">
        <v>80</v>
      </c>
      <c r="J246" t="s">
        <v>91</v>
      </c>
      <c r="K246" t="s">
        <v>78</v>
      </c>
      <c r="L246" t="s">
        <v>763</v>
      </c>
      <c r="M246" t="s">
        <v>764</v>
      </c>
      <c r="N246" t="s">
        <v>765</v>
      </c>
      <c r="O246" t="s">
        <v>82</v>
      </c>
      <c r="P246" t="str">
        <f>"4170062746                    "</f>
        <v xml:space="preserve">4170062746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43.31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137.47</v>
      </c>
      <c r="BM246">
        <v>20.62</v>
      </c>
      <c r="BN246">
        <v>158.09</v>
      </c>
      <c r="BO246">
        <v>158.09</v>
      </c>
      <c r="BQ246" t="s">
        <v>766</v>
      </c>
      <c r="BR246" t="s">
        <v>97</v>
      </c>
      <c r="BS246" s="3">
        <v>45933</v>
      </c>
      <c r="BT246" s="4">
        <v>0.41041666666666665</v>
      </c>
      <c r="BU246" t="s">
        <v>767</v>
      </c>
      <c r="BV246" t="s">
        <v>86</v>
      </c>
      <c r="BY246">
        <v>1200</v>
      </c>
      <c r="CA246" t="s">
        <v>768</v>
      </c>
      <c r="CC246" t="s">
        <v>764</v>
      </c>
      <c r="CD246">
        <v>2531</v>
      </c>
      <c r="CE246" t="s">
        <v>147</v>
      </c>
      <c r="CF246" s="3">
        <v>45936</v>
      </c>
      <c r="CI246">
        <v>1</v>
      </c>
      <c r="CJ246">
        <v>1</v>
      </c>
      <c r="CK246">
        <v>23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"080068271166"</f>
        <v>080068271166</v>
      </c>
      <c r="F247" s="3">
        <v>45932</v>
      </c>
      <c r="G247">
        <v>202607</v>
      </c>
      <c r="H247" t="s">
        <v>79</v>
      </c>
      <c r="I247" t="s">
        <v>80</v>
      </c>
      <c r="J247" t="s">
        <v>91</v>
      </c>
      <c r="K247" t="s">
        <v>78</v>
      </c>
      <c r="L247" t="s">
        <v>788</v>
      </c>
      <c r="M247" t="s">
        <v>789</v>
      </c>
      <c r="N247" t="s">
        <v>790</v>
      </c>
      <c r="O247" t="s">
        <v>82</v>
      </c>
      <c r="P247" t="str">
        <f>"4170062763                    "</f>
        <v xml:space="preserve">4170062763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43.31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137.47</v>
      </c>
      <c r="BM247">
        <v>20.62</v>
      </c>
      <c r="BN247">
        <v>158.09</v>
      </c>
      <c r="BO247">
        <v>158.09</v>
      </c>
      <c r="BQ247" t="s">
        <v>791</v>
      </c>
      <c r="BR247" t="s">
        <v>97</v>
      </c>
      <c r="BS247" s="3">
        <v>45933</v>
      </c>
      <c r="BT247" s="4">
        <v>0.5625</v>
      </c>
      <c r="BU247" t="s">
        <v>792</v>
      </c>
      <c r="BV247" t="s">
        <v>90</v>
      </c>
      <c r="BY247">
        <v>1200</v>
      </c>
      <c r="BZ247" t="s">
        <v>87</v>
      </c>
      <c r="CA247" t="s">
        <v>793</v>
      </c>
      <c r="CC247" t="s">
        <v>789</v>
      </c>
      <c r="CD247">
        <v>3290</v>
      </c>
      <c r="CE247" t="s">
        <v>120</v>
      </c>
      <c r="CF247" s="3">
        <v>45934</v>
      </c>
      <c r="CI247">
        <v>1</v>
      </c>
      <c r="CJ247">
        <v>1</v>
      </c>
      <c r="CK247">
        <v>23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"080068271180"</f>
        <v>080068271180</v>
      </c>
      <c r="F248" s="3">
        <v>45932</v>
      </c>
      <c r="G248">
        <v>202607</v>
      </c>
      <c r="H248" t="s">
        <v>79</v>
      </c>
      <c r="I248" t="s">
        <v>80</v>
      </c>
      <c r="J248" t="s">
        <v>91</v>
      </c>
      <c r="K248" t="s">
        <v>78</v>
      </c>
      <c r="L248" t="s">
        <v>333</v>
      </c>
      <c r="M248" t="s">
        <v>334</v>
      </c>
      <c r="N248" t="s">
        <v>794</v>
      </c>
      <c r="O248" t="s">
        <v>95</v>
      </c>
      <c r="P248" t="str">
        <f>"4170062591                    "</f>
        <v xml:space="preserve">4170062591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98.56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2</v>
      </c>
      <c r="BI248">
        <v>33.4</v>
      </c>
      <c r="BJ248">
        <v>45.6</v>
      </c>
      <c r="BK248">
        <v>46</v>
      </c>
      <c r="BL248">
        <v>318.69</v>
      </c>
      <c r="BM248">
        <v>47.8</v>
      </c>
      <c r="BN248">
        <v>366.49</v>
      </c>
      <c r="BO248">
        <v>366.49</v>
      </c>
      <c r="BQ248" t="s">
        <v>795</v>
      </c>
      <c r="BR248" t="s">
        <v>97</v>
      </c>
      <c r="BS248" s="3">
        <v>45936</v>
      </c>
      <c r="BT248" s="4">
        <v>0.39583333333333331</v>
      </c>
      <c r="BU248" t="s">
        <v>796</v>
      </c>
      <c r="BV248" t="s">
        <v>86</v>
      </c>
      <c r="BY248">
        <v>228080</v>
      </c>
      <c r="CC248" t="s">
        <v>334</v>
      </c>
      <c r="CD248">
        <v>6220</v>
      </c>
      <c r="CE248" t="s">
        <v>191</v>
      </c>
      <c r="CF248" s="3">
        <v>45937</v>
      </c>
      <c r="CI248">
        <v>3</v>
      </c>
      <c r="CJ248">
        <v>2</v>
      </c>
      <c r="CK248">
        <v>41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"080068271219"</f>
        <v>080068271219</v>
      </c>
      <c r="F249" s="3">
        <v>45932</v>
      </c>
      <c r="G249">
        <v>202607</v>
      </c>
      <c r="H249" t="s">
        <v>79</v>
      </c>
      <c r="I249" t="s">
        <v>80</v>
      </c>
      <c r="J249" t="s">
        <v>91</v>
      </c>
      <c r="K249" t="s">
        <v>78</v>
      </c>
      <c r="L249" t="s">
        <v>406</v>
      </c>
      <c r="M249" t="s">
        <v>407</v>
      </c>
      <c r="N249" t="s">
        <v>797</v>
      </c>
      <c r="O249" t="s">
        <v>82</v>
      </c>
      <c r="P249" t="str">
        <f>"4170062618                    "</f>
        <v xml:space="preserve">4170062618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31.44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99.79</v>
      </c>
      <c r="BM249">
        <v>14.97</v>
      </c>
      <c r="BN249">
        <v>114.76</v>
      </c>
      <c r="BO249">
        <v>114.76</v>
      </c>
      <c r="BQ249" t="s">
        <v>798</v>
      </c>
      <c r="BR249" t="s">
        <v>97</v>
      </c>
      <c r="BS249" s="3">
        <v>45933</v>
      </c>
      <c r="BT249" s="4">
        <v>0.40625</v>
      </c>
      <c r="BU249" t="s">
        <v>799</v>
      </c>
      <c r="BV249" t="s">
        <v>86</v>
      </c>
      <c r="BY249">
        <v>1200</v>
      </c>
      <c r="CA249" t="s">
        <v>800</v>
      </c>
      <c r="CC249" t="s">
        <v>407</v>
      </c>
      <c r="CD249">
        <v>1438</v>
      </c>
      <c r="CE249" t="s">
        <v>147</v>
      </c>
      <c r="CF249" s="3">
        <v>45934</v>
      </c>
      <c r="CI249">
        <v>1</v>
      </c>
      <c r="CJ249">
        <v>1</v>
      </c>
      <c r="CK249">
        <v>24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"080068271264"</f>
        <v>080068271264</v>
      </c>
      <c r="F250" s="3">
        <v>45932</v>
      </c>
      <c r="G250">
        <v>202607</v>
      </c>
      <c r="H250" t="s">
        <v>79</v>
      </c>
      <c r="I250" t="s">
        <v>80</v>
      </c>
      <c r="J250" t="s">
        <v>91</v>
      </c>
      <c r="K250" t="s">
        <v>78</v>
      </c>
      <c r="L250" t="s">
        <v>108</v>
      </c>
      <c r="M250" t="s">
        <v>109</v>
      </c>
      <c r="N250" t="s">
        <v>548</v>
      </c>
      <c r="O250" t="s">
        <v>82</v>
      </c>
      <c r="P250" t="str">
        <f>"4170062650                    "</f>
        <v xml:space="preserve">4170062650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44.69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4</v>
      </c>
      <c r="BJ250">
        <v>1.1000000000000001</v>
      </c>
      <c r="BK250">
        <v>4</v>
      </c>
      <c r="BL250">
        <v>141.85</v>
      </c>
      <c r="BM250">
        <v>21.28</v>
      </c>
      <c r="BN250">
        <v>163.13</v>
      </c>
      <c r="BO250">
        <v>163.13</v>
      </c>
      <c r="BQ250" t="s">
        <v>549</v>
      </c>
      <c r="BR250" t="s">
        <v>97</v>
      </c>
      <c r="BS250" s="3">
        <v>45933</v>
      </c>
      <c r="BT250" s="4">
        <v>0.37569444444444444</v>
      </c>
      <c r="BU250" t="s">
        <v>550</v>
      </c>
      <c r="BV250" t="s">
        <v>86</v>
      </c>
      <c r="BY250">
        <v>5510</v>
      </c>
      <c r="BZ250" t="s">
        <v>87</v>
      </c>
      <c r="CA250" t="s">
        <v>551</v>
      </c>
      <c r="CC250" t="s">
        <v>109</v>
      </c>
      <c r="CD250">
        <v>6001</v>
      </c>
      <c r="CE250" t="s">
        <v>101</v>
      </c>
      <c r="CF250" s="3">
        <v>45933</v>
      </c>
      <c r="CI250">
        <v>1</v>
      </c>
      <c r="CJ250">
        <v>1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"080068271286"</f>
        <v>080068271286</v>
      </c>
      <c r="F251" s="3">
        <v>45932</v>
      </c>
      <c r="G251">
        <v>202607</v>
      </c>
      <c r="H251" t="s">
        <v>79</v>
      </c>
      <c r="I251" t="s">
        <v>80</v>
      </c>
      <c r="J251" t="s">
        <v>91</v>
      </c>
      <c r="K251" t="s">
        <v>78</v>
      </c>
      <c r="L251" t="s">
        <v>333</v>
      </c>
      <c r="M251" t="s">
        <v>334</v>
      </c>
      <c r="N251" t="s">
        <v>335</v>
      </c>
      <c r="O251" t="s">
        <v>82</v>
      </c>
      <c r="P251" t="str">
        <f>"4170062740                    "</f>
        <v xml:space="preserve">4170062740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22.36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70.959999999999994</v>
      </c>
      <c r="BM251">
        <v>10.64</v>
      </c>
      <c r="BN251">
        <v>81.599999999999994</v>
      </c>
      <c r="BO251">
        <v>81.599999999999994</v>
      </c>
      <c r="BQ251" t="s">
        <v>336</v>
      </c>
      <c r="BR251" t="s">
        <v>97</v>
      </c>
      <c r="BS251" s="3">
        <v>45933</v>
      </c>
      <c r="BT251" s="4">
        <v>0.41388888888888886</v>
      </c>
      <c r="BU251" t="s">
        <v>801</v>
      </c>
      <c r="BV251" t="s">
        <v>86</v>
      </c>
      <c r="BY251">
        <v>1200</v>
      </c>
      <c r="BZ251" t="s">
        <v>87</v>
      </c>
      <c r="CA251" t="s">
        <v>802</v>
      </c>
      <c r="CC251" t="s">
        <v>334</v>
      </c>
      <c r="CD251">
        <v>6220</v>
      </c>
      <c r="CE251" t="s">
        <v>120</v>
      </c>
      <c r="CF251" s="3">
        <v>45933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"080068271314"</f>
        <v>080068271314</v>
      </c>
      <c r="F252" s="3">
        <v>45932</v>
      </c>
      <c r="G252">
        <v>202607</v>
      </c>
      <c r="H252" t="s">
        <v>79</v>
      </c>
      <c r="I252" t="s">
        <v>80</v>
      </c>
      <c r="J252" t="s">
        <v>91</v>
      </c>
      <c r="K252" t="s">
        <v>78</v>
      </c>
      <c r="L252" t="s">
        <v>148</v>
      </c>
      <c r="M252" t="s">
        <v>149</v>
      </c>
      <c r="N252" t="s">
        <v>803</v>
      </c>
      <c r="O252" t="s">
        <v>226</v>
      </c>
      <c r="P252" t="str">
        <f>"4170062769                    "</f>
        <v xml:space="preserve">4170062769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17.47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7</v>
      </c>
      <c r="BJ252">
        <v>3.4</v>
      </c>
      <c r="BK252">
        <v>7</v>
      </c>
      <c r="BL252">
        <v>55.44</v>
      </c>
      <c r="BM252">
        <v>8.32</v>
      </c>
      <c r="BN252">
        <v>63.76</v>
      </c>
      <c r="BO252">
        <v>63.76</v>
      </c>
      <c r="BQ252" t="s">
        <v>804</v>
      </c>
      <c r="BR252" t="s">
        <v>97</v>
      </c>
      <c r="BS252" s="3">
        <v>45933</v>
      </c>
      <c r="BT252" s="4">
        <v>0.34513888888888888</v>
      </c>
      <c r="BU252" t="s">
        <v>805</v>
      </c>
      <c r="BV252" t="s">
        <v>86</v>
      </c>
      <c r="BY252">
        <v>16965</v>
      </c>
      <c r="CC252" t="s">
        <v>149</v>
      </c>
      <c r="CD252">
        <v>2090</v>
      </c>
      <c r="CE252" t="s">
        <v>191</v>
      </c>
      <c r="CF252" s="3">
        <v>45933</v>
      </c>
      <c r="CI252">
        <v>1</v>
      </c>
      <c r="CJ252">
        <v>1</v>
      </c>
      <c r="CK252">
        <v>32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"080068271365"</f>
        <v>080068271365</v>
      </c>
      <c r="F253" s="3">
        <v>45932</v>
      </c>
      <c r="G253">
        <v>202607</v>
      </c>
      <c r="H253" t="s">
        <v>79</v>
      </c>
      <c r="I253" t="s">
        <v>80</v>
      </c>
      <c r="J253" t="s">
        <v>91</v>
      </c>
      <c r="K253" t="s">
        <v>78</v>
      </c>
      <c r="L253" t="s">
        <v>168</v>
      </c>
      <c r="M253" t="s">
        <v>169</v>
      </c>
      <c r="N253" t="s">
        <v>778</v>
      </c>
      <c r="O253" t="s">
        <v>82</v>
      </c>
      <c r="P253" t="str">
        <f>"4170062615                    "</f>
        <v xml:space="preserve">4170062615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22.36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0.9</v>
      </c>
      <c r="BK253">
        <v>1</v>
      </c>
      <c r="BL253">
        <v>70.959999999999994</v>
      </c>
      <c r="BM253">
        <v>10.64</v>
      </c>
      <c r="BN253">
        <v>81.599999999999994</v>
      </c>
      <c r="BO253">
        <v>81.599999999999994</v>
      </c>
      <c r="BQ253" t="s">
        <v>779</v>
      </c>
      <c r="BR253" t="s">
        <v>97</v>
      </c>
      <c r="BS253" s="3">
        <v>45933</v>
      </c>
      <c r="BT253" s="4">
        <v>0.58402777777777781</v>
      </c>
      <c r="BU253" t="s">
        <v>780</v>
      </c>
      <c r="BV253" t="s">
        <v>90</v>
      </c>
      <c r="BW253" t="s">
        <v>188</v>
      </c>
      <c r="BX253" t="s">
        <v>189</v>
      </c>
      <c r="BY253">
        <v>4275</v>
      </c>
      <c r="CC253" t="s">
        <v>169</v>
      </c>
      <c r="CD253" s="5" t="s">
        <v>190</v>
      </c>
      <c r="CE253" t="s">
        <v>191</v>
      </c>
      <c r="CF253" s="3">
        <v>45936</v>
      </c>
      <c r="CI253">
        <v>1</v>
      </c>
      <c r="CJ253">
        <v>1</v>
      </c>
      <c r="CK253">
        <v>21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"080068271512"</f>
        <v>080068271512</v>
      </c>
      <c r="F254" s="3">
        <v>45932</v>
      </c>
      <c r="G254">
        <v>202607</v>
      </c>
      <c r="H254" t="s">
        <v>79</v>
      </c>
      <c r="I254" t="s">
        <v>80</v>
      </c>
      <c r="J254" t="s">
        <v>91</v>
      </c>
      <c r="K254" t="s">
        <v>78</v>
      </c>
      <c r="L254" t="s">
        <v>79</v>
      </c>
      <c r="M254" t="s">
        <v>80</v>
      </c>
      <c r="N254" t="s">
        <v>357</v>
      </c>
      <c r="O254" t="s">
        <v>82</v>
      </c>
      <c r="P254" t="str">
        <f>"4170062696                    "</f>
        <v xml:space="preserve">4170062696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17.46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55.42</v>
      </c>
      <c r="BM254">
        <v>8.31</v>
      </c>
      <c r="BN254">
        <v>63.73</v>
      </c>
      <c r="BO254">
        <v>63.73</v>
      </c>
      <c r="BQ254" t="s">
        <v>358</v>
      </c>
      <c r="BR254" t="s">
        <v>97</v>
      </c>
      <c r="BS254" s="3">
        <v>45933</v>
      </c>
      <c r="BT254" s="4">
        <v>0.40902777777777777</v>
      </c>
      <c r="BU254" t="s">
        <v>359</v>
      </c>
      <c r="BV254" t="s">
        <v>86</v>
      </c>
      <c r="BY254">
        <v>1200</v>
      </c>
      <c r="CA254" t="s">
        <v>360</v>
      </c>
      <c r="CC254" t="s">
        <v>80</v>
      </c>
      <c r="CD254">
        <v>1645</v>
      </c>
      <c r="CE254" t="s">
        <v>147</v>
      </c>
      <c r="CF254" s="3">
        <v>45934</v>
      </c>
      <c r="CI254">
        <v>1</v>
      </c>
      <c r="CJ254">
        <v>1</v>
      </c>
      <c r="CK254">
        <v>22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"080068271543"</f>
        <v>080068271543</v>
      </c>
      <c r="F255" s="3">
        <v>45932</v>
      </c>
      <c r="G255">
        <v>202607</v>
      </c>
      <c r="H255" t="s">
        <v>79</v>
      </c>
      <c r="I255" t="s">
        <v>80</v>
      </c>
      <c r="J255" t="s">
        <v>91</v>
      </c>
      <c r="K255" t="s">
        <v>78</v>
      </c>
      <c r="L255" t="s">
        <v>114</v>
      </c>
      <c r="M255" t="s">
        <v>115</v>
      </c>
      <c r="N255" t="s">
        <v>806</v>
      </c>
      <c r="O255" t="s">
        <v>82</v>
      </c>
      <c r="P255" t="str">
        <f>"4170062688                    "</f>
        <v xml:space="preserve">4170062688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67.03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6</v>
      </c>
      <c r="BJ255">
        <v>2.6</v>
      </c>
      <c r="BK255">
        <v>6</v>
      </c>
      <c r="BL255">
        <v>212.75</v>
      </c>
      <c r="BM255">
        <v>31.91</v>
      </c>
      <c r="BN255">
        <v>244.66</v>
      </c>
      <c r="BO255">
        <v>244.66</v>
      </c>
      <c r="BQ255" t="s">
        <v>807</v>
      </c>
      <c r="BR255" t="s">
        <v>97</v>
      </c>
      <c r="BS255" s="3">
        <v>45933</v>
      </c>
      <c r="BT255" s="4">
        <v>0.59861111111111109</v>
      </c>
      <c r="BU255" t="s">
        <v>808</v>
      </c>
      <c r="BV255" t="s">
        <v>90</v>
      </c>
      <c r="BY255">
        <v>13160</v>
      </c>
      <c r="CA255" t="s">
        <v>749</v>
      </c>
      <c r="CC255" t="s">
        <v>115</v>
      </c>
      <c r="CD255">
        <v>5201</v>
      </c>
      <c r="CE255" t="s">
        <v>107</v>
      </c>
      <c r="CF255" s="3">
        <v>45935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"080068271560"</f>
        <v>080068271560</v>
      </c>
      <c r="F256" s="3">
        <v>45932</v>
      </c>
      <c r="G256">
        <v>202607</v>
      </c>
      <c r="H256" t="s">
        <v>79</v>
      </c>
      <c r="I256" t="s">
        <v>80</v>
      </c>
      <c r="J256" t="s">
        <v>91</v>
      </c>
      <c r="K256" t="s">
        <v>78</v>
      </c>
      <c r="L256" t="s">
        <v>206</v>
      </c>
      <c r="M256" t="s">
        <v>207</v>
      </c>
      <c r="N256" t="s">
        <v>656</v>
      </c>
      <c r="O256" t="s">
        <v>82</v>
      </c>
      <c r="P256" t="str">
        <f>"4170062705                    "</f>
        <v xml:space="preserve">4170062705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22.36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1.7</v>
      </c>
      <c r="BK256">
        <v>2</v>
      </c>
      <c r="BL256">
        <v>70.959999999999994</v>
      </c>
      <c r="BM256">
        <v>10.64</v>
      </c>
      <c r="BN256">
        <v>81.599999999999994</v>
      </c>
      <c r="BO256">
        <v>81.599999999999994</v>
      </c>
      <c r="BQ256" t="s">
        <v>657</v>
      </c>
      <c r="BR256" t="s">
        <v>97</v>
      </c>
      <c r="BS256" s="3">
        <v>45933</v>
      </c>
      <c r="BT256" s="4">
        <v>0.4236111111111111</v>
      </c>
      <c r="BU256" t="s">
        <v>777</v>
      </c>
      <c r="BV256" t="s">
        <v>86</v>
      </c>
      <c r="BY256">
        <v>8550</v>
      </c>
      <c r="BZ256" t="s">
        <v>87</v>
      </c>
      <c r="CA256" t="s">
        <v>770</v>
      </c>
      <c r="CC256" t="s">
        <v>207</v>
      </c>
      <c r="CD256">
        <v>7441</v>
      </c>
      <c r="CE256" t="s">
        <v>101</v>
      </c>
      <c r="CF256" s="3">
        <v>45936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"080068271574"</f>
        <v>080068271574</v>
      </c>
      <c r="F257" s="3">
        <v>45932</v>
      </c>
      <c r="G257">
        <v>202607</v>
      </c>
      <c r="H257" t="s">
        <v>79</v>
      </c>
      <c r="I257" t="s">
        <v>80</v>
      </c>
      <c r="J257" t="s">
        <v>91</v>
      </c>
      <c r="K257" t="s">
        <v>78</v>
      </c>
      <c r="L257" t="s">
        <v>809</v>
      </c>
      <c r="M257" t="s">
        <v>810</v>
      </c>
      <c r="N257" t="s">
        <v>811</v>
      </c>
      <c r="O257" t="s">
        <v>82</v>
      </c>
      <c r="P257" t="str">
        <f>"4170062767                    "</f>
        <v xml:space="preserve">4170062767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17.46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2</v>
      </c>
      <c r="BK257">
        <v>2</v>
      </c>
      <c r="BL257">
        <v>55.42</v>
      </c>
      <c r="BM257">
        <v>8.31</v>
      </c>
      <c r="BN257">
        <v>63.73</v>
      </c>
      <c r="BO257">
        <v>63.73</v>
      </c>
      <c r="BQ257" t="s">
        <v>812</v>
      </c>
      <c r="BR257" t="s">
        <v>97</v>
      </c>
      <c r="BS257" s="3">
        <v>45933</v>
      </c>
      <c r="BT257" s="4">
        <v>0.35694444444444445</v>
      </c>
      <c r="BU257" t="s">
        <v>813</v>
      </c>
      <c r="BV257" t="s">
        <v>86</v>
      </c>
      <c r="BY257">
        <v>9900</v>
      </c>
      <c r="BZ257" t="s">
        <v>87</v>
      </c>
      <c r="CA257" t="s">
        <v>814</v>
      </c>
      <c r="CC257" t="s">
        <v>810</v>
      </c>
      <c r="CD257">
        <v>1724</v>
      </c>
      <c r="CE257" t="s">
        <v>101</v>
      </c>
      <c r="CF257" s="3">
        <v>45933</v>
      </c>
      <c r="CI257">
        <v>1</v>
      </c>
      <c r="CJ257">
        <v>1</v>
      </c>
      <c r="CK257">
        <v>22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"080068271636"</f>
        <v>080068271636</v>
      </c>
      <c r="F258" s="3">
        <v>45932</v>
      </c>
      <c r="G258">
        <v>202607</v>
      </c>
      <c r="H258" t="s">
        <v>79</v>
      </c>
      <c r="I258" t="s">
        <v>80</v>
      </c>
      <c r="J258" t="s">
        <v>91</v>
      </c>
      <c r="K258" t="s">
        <v>78</v>
      </c>
      <c r="L258" t="s">
        <v>121</v>
      </c>
      <c r="M258" t="s">
        <v>122</v>
      </c>
      <c r="N258" t="s">
        <v>123</v>
      </c>
      <c r="O258" t="s">
        <v>82</v>
      </c>
      <c r="P258" t="str">
        <f>"4170062667                    "</f>
        <v xml:space="preserve">4170062667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22.36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1.1000000000000001</v>
      </c>
      <c r="BK258">
        <v>1.5</v>
      </c>
      <c r="BL258">
        <v>70.959999999999994</v>
      </c>
      <c r="BM258">
        <v>10.64</v>
      </c>
      <c r="BN258">
        <v>81.599999999999994</v>
      </c>
      <c r="BO258">
        <v>81.599999999999994</v>
      </c>
      <c r="BQ258" t="s">
        <v>124</v>
      </c>
      <c r="BR258" t="s">
        <v>97</v>
      </c>
      <c r="BS258" s="3">
        <v>45933</v>
      </c>
      <c r="BT258" s="4">
        <v>0.33819444444444446</v>
      </c>
      <c r="BU258" t="s">
        <v>757</v>
      </c>
      <c r="BV258" t="s">
        <v>86</v>
      </c>
      <c r="BY258">
        <v>5320</v>
      </c>
      <c r="BZ258" t="s">
        <v>87</v>
      </c>
      <c r="CA258" t="s">
        <v>758</v>
      </c>
      <c r="CC258" t="s">
        <v>122</v>
      </c>
      <c r="CD258">
        <v>4000</v>
      </c>
      <c r="CE258" t="s">
        <v>101</v>
      </c>
      <c r="CF258" s="3">
        <v>45933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"080068271643"</f>
        <v>080068271643</v>
      </c>
      <c r="F259" s="3">
        <v>45932</v>
      </c>
      <c r="G259">
        <v>202607</v>
      </c>
      <c r="H259" t="s">
        <v>79</v>
      </c>
      <c r="I259" t="s">
        <v>80</v>
      </c>
      <c r="J259" t="s">
        <v>91</v>
      </c>
      <c r="K259" t="s">
        <v>78</v>
      </c>
      <c r="L259" t="s">
        <v>206</v>
      </c>
      <c r="M259" t="s">
        <v>207</v>
      </c>
      <c r="N259" t="s">
        <v>656</v>
      </c>
      <c r="O259" t="s">
        <v>82</v>
      </c>
      <c r="P259" t="str">
        <f>"4170062702                    "</f>
        <v xml:space="preserve">4170062702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22.36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1.7</v>
      </c>
      <c r="BK259">
        <v>2</v>
      </c>
      <c r="BL259">
        <v>70.959999999999994</v>
      </c>
      <c r="BM259">
        <v>10.64</v>
      </c>
      <c r="BN259">
        <v>81.599999999999994</v>
      </c>
      <c r="BO259">
        <v>81.599999999999994</v>
      </c>
      <c r="BQ259" t="s">
        <v>657</v>
      </c>
      <c r="BR259" t="s">
        <v>97</v>
      </c>
      <c r="BS259" s="3">
        <v>45933</v>
      </c>
      <c r="BT259" s="4">
        <v>0.4236111111111111</v>
      </c>
      <c r="BU259" t="s">
        <v>777</v>
      </c>
      <c r="BV259" t="s">
        <v>86</v>
      </c>
      <c r="BY259">
        <v>8550</v>
      </c>
      <c r="BZ259" t="s">
        <v>87</v>
      </c>
      <c r="CA259" t="s">
        <v>770</v>
      </c>
      <c r="CC259" t="s">
        <v>207</v>
      </c>
      <c r="CD259">
        <v>7441</v>
      </c>
      <c r="CE259" t="s">
        <v>101</v>
      </c>
      <c r="CF259" s="3">
        <v>45936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"080068271684"</f>
        <v>080068271684</v>
      </c>
      <c r="F260" s="3">
        <v>45932</v>
      </c>
      <c r="G260">
        <v>202607</v>
      </c>
      <c r="H260" t="s">
        <v>79</v>
      </c>
      <c r="I260" t="s">
        <v>80</v>
      </c>
      <c r="J260" t="s">
        <v>91</v>
      </c>
      <c r="K260" t="s">
        <v>78</v>
      </c>
      <c r="L260" t="s">
        <v>121</v>
      </c>
      <c r="M260" t="s">
        <v>122</v>
      </c>
      <c r="N260" t="s">
        <v>123</v>
      </c>
      <c r="O260" t="s">
        <v>82</v>
      </c>
      <c r="P260" t="str">
        <f>"4170062668                    "</f>
        <v xml:space="preserve">4170062668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22.36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70.959999999999994</v>
      </c>
      <c r="BM260">
        <v>10.64</v>
      </c>
      <c r="BN260">
        <v>81.599999999999994</v>
      </c>
      <c r="BO260">
        <v>81.599999999999994</v>
      </c>
      <c r="BQ260" t="s">
        <v>124</v>
      </c>
      <c r="BR260" t="s">
        <v>97</v>
      </c>
      <c r="BS260" s="3">
        <v>45933</v>
      </c>
      <c r="BT260" s="4">
        <v>0.33819444444444446</v>
      </c>
      <c r="BU260" t="s">
        <v>757</v>
      </c>
      <c r="BV260" t="s">
        <v>86</v>
      </c>
      <c r="BY260">
        <v>1200</v>
      </c>
      <c r="BZ260" t="s">
        <v>87</v>
      </c>
      <c r="CA260" t="s">
        <v>758</v>
      </c>
      <c r="CC260" t="s">
        <v>122</v>
      </c>
      <c r="CD260">
        <v>4051</v>
      </c>
      <c r="CE260" t="s">
        <v>120</v>
      </c>
      <c r="CF260" s="3">
        <v>45933</v>
      </c>
      <c r="CI260">
        <v>1</v>
      </c>
      <c r="CJ260">
        <v>1</v>
      </c>
      <c r="CK260">
        <v>21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"080068271692"</f>
        <v>080068271692</v>
      </c>
      <c r="F261" s="3">
        <v>45932</v>
      </c>
      <c r="G261">
        <v>202607</v>
      </c>
      <c r="H261" t="s">
        <v>79</v>
      </c>
      <c r="I261" t="s">
        <v>80</v>
      </c>
      <c r="J261" t="s">
        <v>91</v>
      </c>
      <c r="K261" t="s">
        <v>78</v>
      </c>
      <c r="L261" t="s">
        <v>223</v>
      </c>
      <c r="M261" t="s">
        <v>224</v>
      </c>
      <c r="N261" t="s">
        <v>815</v>
      </c>
      <c r="O261" t="s">
        <v>226</v>
      </c>
      <c r="P261" t="str">
        <f>"4170062626                    "</f>
        <v xml:space="preserve">4170062626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21.39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10</v>
      </c>
      <c r="BJ261">
        <v>4.0999999999999996</v>
      </c>
      <c r="BK261">
        <v>10</v>
      </c>
      <c r="BL261">
        <v>67.88</v>
      </c>
      <c r="BM261">
        <v>10.18</v>
      </c>
      <c r="BN261">
        <v>78.06</v>
      </c>
      <c r="BO261">
        <v>78.06</v>
      </c>
      <c r="BQ261" t="s">
        <v>816</v>
      </c>
      <c r="BR261" t="s">
        <v>97</v>
      </c>
      <c r="BS261" s="3">
        <v>45933</v>
      </c>
      <c r="BT261" s="4">
        <v>0.40486111111111112</v>
      </c>
      <c r="BU261" t="s">
        <v>725</v>
      </c>
      <c r="BV261" t="s">
        <v>86</v>
      </c>
      <c r="BY261">
        <v>20358</v>
      </c>
      <c r="BZ261" t="s">
        <v>99</v>
      </c>
      <c r="CA261" t="s">
        <v>726</v>
      </c>
      <c r="CC261" t="s">
        <v>224</v>
      </c>
      <c r="CD261">
        <v>1459</v>
      </c>
      <c r="CE261" t="s">
        <v>101</v>
      </c>
      <c r="CF261" s="3">
        <v>45933</v>
      </c>
      <c r="CI261">
        <v>1</v>
      </c>
      <c r="CJ261">
        <v>1</v>
      </c>
      <c r="CK261">
        <v>32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"080068271723"</f>
        <v>080068271723</v>
      </c>
      <c r="F262" s="3">
        <v>45932</v>
      </c>
      <c r="G262">
        <v>202607</v>
      </c>
      <c r="H262" t="s">
        <v>79</v>
      </c>
      <c r="I262" t="s">
        <v>80</v>
      </c>
      <c r="J262" t="s">
        <v>91</v>
      </c>
      <c r="K262" t="s">
        <v>78</v>
      </c>
      <c r="L262" t="s">
        <v>265</v>
      </c>
      <c r="M262" t="s">
        <v>266</v>
      </c>
      <c r="N262" t="s">
        <v>536</v>
      </c>
      <c r="O262" t="s">
        <v>82</v>
      </c>
      <c r="P262" t="str">
        <f>"4170062639                    "</f>
        <v xml:space="preserve">4170062639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22.36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70.959999999999994</v>
      </c>
      <c r="BM262">
        <v>10.64</v>
      </c>
      <c r="BN262">
        <v>81.599999999999994</v>
      </c>
      <c r="BO262">
        <v>81.599999999999994</v>
      </c>
      <c r="BQ262" t="s">
        <v>537</v>
      </c>
      <c r="BR262" t="s">
        <v>97</v>
      </c>
      <c r="BS262" s="3">
        <v>45933</v>
      </c>
      <c r="BT262" s="4">
        <v>0.37916666666666665</v>
      </c>
      <c r="BU262" t="s">
        <v>817</v>
      </c>
      <c r="BV262" t="s">
        <v>86</v>
      </c>
      <c r="BY262">
        <v>1200</v>
      </c>
      <c r="BZ262" t="s">
        <v>87</v>
      </c>
      <c r="CA262" t="s">
        <v>818</v>
      </c>
      <c r="CC262" t="s">
        <v>266</v>
      </c>
      <c r="CD262">
        <v>6230</v>
      </c>
      <c r="CE262" t="s">
        <v>120</v>
      </c>
      <c r="CF262" s="3">
        <v>45933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"080068272013"</f>
        <v>080068272013</v>
      </c>
      <c r="F263" s="3">
        <v>45932</v>
      </c>
      <c r="G263">
        <v>202607</v>
      </c>
      <c r="H263" t="s">
        <v>79</v>
      </c>
      <c r="I263" t="s">
        <v>80</v>
      </c>
      <c r="J263" t="s">
        <v>91</v>
      </c>
      <c r="K263" t="s">
        <v>78</v>
      </c>
      <c r="L263" t="s">
        <v>148</v>
      </c>
      <c r="M263" t="s">
        <v>149</v>
      </c>
      <c r="N263" t="s">
        <v>819</v>
      </c>
      <c r="O263" t="s">
        <v>82</v>
      </c>
      <c r="P263" t="str">
        <f>"4170062712                    "</f>
        <v xml:space="preserve">4170062712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17.46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55.42</v>
      </c>
      <c r="BM263">
        <v>8.31</v>
      </c>
      <c r="BN263">
        <v>63.73</v>
      </c>
      <c r="BO263">
        <v>63.73</v>
      </c>
      <c r="BQ263" t="s">
        <v>820</v>
      </c>
      <c r="BR263" t="s">
        <v>97</v>
      </c>
      <c r="BS263" s="3">
        <v>45933</v>
      </c>
      <c r="BT263" s="4">
        <v>0.43263888888888891</v>
      </c>
      <c r="BU263" t="s">
        <v>821</v>
      </c>
      <c r="BV263" t="s">
        <v>86</v>
      </c>
      <c r="BY263">
        <v>1200</v>
      </c>
      <c r="BZ263" t="s">
        <v>87</v>
      </c>
      <c r="CA263" t="s">
        <v>773</v>
      </c>
      <c r="CC263" t="s">
        <v>149</v>
      </c>
      <c r="CD263">
        <v>2197</v>
      </c>
      <c r="CE263" t="s">
        <v>120</v>
      </c>
      <c r="CF263" s="3">
        <v>45933</v>
      </c>
      <c r="CI263">
        <v>1</v>
      </c>
      <c r="CJ263">
        <v>1</v>
      </c>
      <c r="CK263">
        <v>22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"080068272051"</f>
        <v>080068272051</v>
      </c>
      <c r="F264" s="3">
        <v>45932</v>
      </c>
      <c r="G264">
        <v>202607</v>
      </c>
      <c r="H264" t="s">
        <v>79</v>
      </c>
      <c r="I264" t="s">
        <v>80</v>
      </c>
      <c r="J264" t="s">
        <v>91</v>
      </c>
      <c r="K264" t="s">
        <v>78</v>
      </c>
      <c r="L264" t="s">
        <v>168</v>
      </c>
      <c r="M264" t="s">
        <v>169</v>
      </c>
      <c r="N264" t="s">
        <v>297</v>
      </c>
      <c r="O264" t="s">
        <v>95</v>
      </c>
      <c r="P264" t="str">
        <f>"4170062710                    "</f>
        <v xml:space="preserve">4170062710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53.94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21</v>
      </c>
      <c r="BJ264">
        <v>17.7</v>
      </c>
      <c r="BK264">
        <v>21</v>
      </c>
      <c r="BL264">
        <v>177.07</v>
      </c>
      <c r="BM264">
        <v>26.56</v>
      </c>
      <c r="BN264">
        <v>203.63</v>
      </c>
      <c r="BO264">
        <v>203.63</v>
      </c>
      <c r="BQ264" t="s">
        <v>298</v>
      </c>
      <c r="BR264" t="s">
        <v>97</v>
      </c>
      <c r="BS264" s="3">
        <v>45933</v>
      </c>
      <c r="BT264" s="4">
        <v>0.46666666666666667</v>
      </c>
      <c r="BU264" t="s">
        <v>822</v>
      </c>
      <c r="BV264" t="s">
        <v>86</v>
      </c>
      <c r="BY264">
        <v>88320</v>
      </c>
      <c r="CC264" t="s">
        <v>169</v>
      </c>
      <c r="CD264" s="5" t="s">
        <v>190</v>
      </c>
      <c r="CE264" t="s">
        <v>191</v>
      </c>
      <c r="CF264" s="3">
        <v>45936</v>
      </c>
      <c r="CI264">
        <v>1</v>
      </c>
      <c r="CJ264">
        <v>1</v>
      </c>
      <c r="CK264">
        <v>41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"080068272053"</f>
        <v>080068272053</v>
      </c>
      <c r="F265" s="3">
        <v>45932</v>
      </c>
      <c r="G265">
        <v>202607</v>
      </c>
      <c r="H265" t="s">
        <v>79</v>
      </c>
      <c r="I265" t="s">
        <v>80</v>
      </c>
      <c r="J265" t="s">
        <v>91</v>
      </c>
      <c r="K265" t="s">
        <v>78</v>
      </c>
      <c r="L265" t="s">
        <v>121</v>
      </c>
      <c r="M265" t="s">
        <v>122</v>
      </c>
      <c r="N265" t="s">
        <v>707</v>
      </c>
      <c r="O265" t="s">
        <v>82</v>
      </c>
      <c r="P265" t="str">
        <f>"4170062770                    "</f>
        <v xml:space="preserve">4170062770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22.36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70.959999999999994</v>
      </c>
      <c r="BM265">
        <v>10.64</v>
      </c>
      <c r="BN265">
        <v>81.599999999999994</v>
      </c>
      <c r="BO265">
        <v>81.599999999999994</v>
      </c>
      <c r="BQ265" t="s">
        <v>708</v>
      </c>
      <c r="BR265" t="s">
        <v>97</v>
      </c>
      <c r="BS265" s="3">
        <v>45933</v>
      </c>
      <c r="BT265" s="4">
        <v>0.3888888888888889</v>
      </c>
      <c r="BU265" t="s">
        <v>823</v>
      </c>
      <c r="BV265" t="s">
        <v>86</v>
      </c>
      <c r="BY265">
        <v>1200</v>
      </c>
      <c r="CA265" t="s">
        <v>651</v>
      </c>
      <c r="CC265" t="s">
        <v>122</v>
      </c>
      <c r="CD265">
        <v>4001</v>
      </c>
      <c r="CE265" t="s">
        <v>147</v>
      </c>
      <c r="CF265" s="3">
        <v>45933</v>
      </c>
      <c r="CI265">
        <v>1</v>
      </c>
      <c r="CJ265">
        <v>1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"080068272087"</f>
        <v>080068272087</v>
      </c>
      <c r="F266" s="3">
        <v>45932</v>
      </c>
      <c r="G266">
        <v>202607</v>
      </c>
      <c r="H266" t="s">
        <v>79</v>
      </c>
      <c r="I266" t="s">
        <v>80</v>
      </c>
      <c r="J266" t="s">
        <v>91</v>
      </c>
      <c r="K266" t="s">
        <v>78</v>
      </c>
      <c r="L266" t="s">
        <v>121</v>
      </c>
      <c r="M266" t="s">
        <v>122</v>
      </c>
      <c r="N266" t="s">
        <v>123</v>
      </c>
      <c r="O266" t="s">
        <v>82</v>
      </c>
      <c r="P266" t="str">
        <f>"4170062617                    "</f>
        <v xml:space="preserve">4170062617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22.36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70.959999999999994</v>
      </c>
      <c r="BM266">
        <v>10.64</v>
      </c>
      <c r="BN266">
        <v>81.599999999999994</v>
      </c>
      <c r="BO266">
        <v>81.599999999999994</v>
      </c>
      <c r="BQ266" t="s">
        <v>124</v>
      </c>
      <c r="BR266" t="s">
        <v>97</v>
      </c>
      <c r="BS266" s="3">
        <v>45933</v>
      </c>
      <c r="BT266" s="4">
        <v>0.33819444444444446</v>
      </c>
      <c r="BU266" t="s">
        <v>757</v>
      </c>
      <c r="BV266" t="s">
        <v>86</v>
      </c>
      <c r="BY266">
        <v>1200</v>
      </c>
      <c r="BZ266" t="s">
        <v>87</v>
      </c>
      <c r="CA266" t="s">
        <v>758</v>
      </c>
      <c r="CC266" t="s">
        <v>122</v>
      </c>
      <c r="CD266">
        <v>4000</v>
      </c>
      <c r="CE266" t="s">
        <v>120</v>
      </c>
      <c r="CF266" s="3">
        <v>45933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"080068272112"</f>
        <v>080068272112</v>
      </c>
      <c r="F267" s="3">
        <v>45932</v>
      </c>
      <c r="G267">
        <v>202607</v>
      </c>
      <c r="H267" t="s">
        <v>79</v>
      </c>
      <c r="I267" t="s">
        <v>80</v>
      </c>
      <c r="J267" t="s">
        <v>91</v>
      </c>
      <c r="K267" t="s">
        <v>78</v>
      </c>
      <c r="L267" t="s">
        <v>223</v>
      </c>
      <c r="M267" t="s">
        <v>224</v>
      </c>
      <c r="N267" t="s">
        <v>824</v>
      </c>
      <c r="O267" t="s">
        <v>95</v>
      </c>
      <c r="P267" t="str">
        <f>"4170062611                    "</f>
        <v xml:space="preserve">4170062611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41.16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2</v>
      </c>
      <c r="BI267">
        <v>10</v>
      </c>
      <c r="BJ267">
        <v>22.4</v>
      </c>
      <c r="BK267">
        <v>23</v>
      </c>
      <c r="BL267">
        <v>136.51</v>
      </c>
      <c r="BM267">
        <v>20.48</v>
      </c>
      <c r="BN267">
        <v>156.99</v>
      </c>
      <c r="BO267">
        <v>156.99</v>
      </c>
      <c r="BQ267" t="s">
        <v>825</v>
      </c>
      <c r="BR267" t="s">
        <v>97</v>
      </c>
      <c r="BS267" s="3">
        <v>45933</v>
      </c>
      <c r="BT267" s="4">
        <v>0.41736111111111113</v>
      </c>
      <c r="BU267" t="s">
        <v>826</v>
      </c>
      <c r="BV267" t="s">
        <v>86</v>
      </c>
      <c r="BY267">
        <v>112120</v>
      </c>
      <c r="CA267" t="s">
        <v>508</v>
      </c>
      <c r="CC267" t="s">
        <v>224</v>
      </c>
      <c r="CD267">
        <v>1459</v>
      </c>
      <c r="CE267" t="s">
        <v>147</v>
      </c>
      <c r="CF267" s="3">
        <v>45933</v>
      </c>
      <c r="CI267">
        <v>1</v>
      </c>
      <c r="CJ267">
        <v>1</v>
      </c>
      <c r="CK267">
        <v>42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"080068272120"</f>
        <v>080068272120</v>
      </c>
      <c r="F268" s="3">
        <v>45932</v>
      </c>
      <c r="G268">
        <v>202607</v>
      </c>
      <c r="H268" t="s">
        <v>79</v>
      </c>
      <c r="I268" t="s">
        <v>80</v>
      </c>
      <c r="J268" t="s">
        <v>91</v>
      </c>
      <c r="K268" t="s">
        <v>78</v>
      </c>
      <c r="L268" t="s">
        <v>79</v>
      </c>
      <c r="M268" t="s">
        <v>80</v>
      </c>
      <c r="N268" t="s">
        <v>827</v>
      </c>
      <c r="O268" t="s">
        <v>82</v>
      </c>
      <c r="P268" t="str">
        <f>"4170062629                    "</f>
        <v xml:space="preserve">4170062629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17.46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55.42</v>
      </c>
      <c r="BM268">
        <v>8.31</v>
      </c>
      <c r="BN268">
        <v>63.73</v>
      </c>
      <c r="BO268">
        <v>63.73</v>
      </c>
      <c r="BQ268" t="s">
        <v>828</v>
      </c>
      <c r="BR268" t="s">
        <v>97</v>
      </c>
      <c r="BS268" s="3">
        <v>45933</v>
      </c>
      <c r="BT268" s="4">
        <v>0.34583333333333333</v>
      </c>
      <c r="BU268" t="s">
        <v>829</v>
      </c>
      <c r="BV268" t="s">
        <v>86</v>
      </c>
      <c r="BY268">
        <v>1200</v>
      </c>
      <c r="CA268" t="s">
        <v>419</v>
      </c>
      <c r="CC268" t="s">
        <v>80</v>
      </c>
      <c r="CD268">
        <v>1668</v>
      </c>
      <c r="CE268" t="s">
        <v>147</v>
      </c>
      <c r="CF268" s="3">
        <v>45934</v>
      </c>
      <c r="CI268">
        <v>1</v>
      </c>
      <c r="CJ268">
        <v>1</v>
      </c>
      <c r="CK268">
        <v>22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"080068272167"</f>
        <v>080068272167</v>
      </c>
      <c r="F269" s="3">
        <v>45932</v>
      </c>
      <c r="G269">
        <v>202607</v>
      </c>
      <c r="H269" t="s">
        <v>79</v>
      </c>
      <c r="I269" t="s">
        <v>80</v>
      </c>
      <c r="J269" t="s">
        <v>91</v>
      </c>
      <c r="K269" t="s">
        <v>78</v>
      </c>
      <c r="L269" t="s">
        <v>79</v>
      </c>
      <c r="M269" t="s">
        <v>80</v>
      </c>
      <c r="N269" t="s">
        <v>830</v>
      </c>
      <c r="O269" t="s">
        <v>82</v>
      </c>
      <c r="P269" t="str">
        <f>"4170062619                    "</f>
        <v xml:space="preserve">4170062619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17.46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55.42</v>
      </c>
      <c r="BM269">
        <v>8.31</v>
      </c>
      <c r="BN269">
        <v>63.73</v>
      </c>
      <c r="BO269">
        <v>63.73</v>
      </c>
      <c r="BQ269" t="s">
        <v>831</v>
      </c>
      <c r="BR269" t="s">
        <v>97</v>
      </c>
      <c r="BS269" s="3">
        <v>45933</v>
      </c>
      <c r="BT269" s="4">
        <v>0.4236111111111111</v>
      </c>
      <c r="BU269" t="s">
        <v>832</v>
      </c>
      <c r="BV269" t="s">
        <v>86</v>
      </c>
      <c r="BY269">
        <v>1200</v>
      </c>
      <c r="BZ269" t="s">
        <v>87</v>
      </c>
      <c r="CA269" t="s">
        <v>88</v>
      </c>
      <c r="CC269" t="s">
        <v>80</v>
      </c>
      <c r="CD269">
        <v>1619</v>
      </c>
      <c r="CE269" t="s">
        <v>120</v>
      </c>
      <c r="CF269" s="3">
        <v>45933</v>
      </c>
      <c r="CI269">
        <v>1</v>
      </c>
      <c r="CJ269">
        <v>1</v>
      </c>
      <c r="CK269">
        <v>22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"080068272179"</f>
        <v>080068272179</v>
      </c>
      <c r="F270" s="3">
        <v>45932</v>
      </c>
      <c r="G270">
        <v>202607</v>
      </c>
      <c r="H270" t="s">
        <v>79</v>
      </c>
      <c r="I270" t="s">
        <v>80</v>
      </c>
      <c r="J270" t="s">
        <v>91</v>
      </c>
      <c r="K270" t="s">
        <v>78</v>
      </c>
      <c r="L270" t="s">
        <v>108</v>
      </c>
      <c r="M270" t="s">
        <v>109</v>
      </c>
      <c r="N270" t="s">
        <v>833</v>
      </c>
      <c r="O270" t="s">
        <v>82</v>
      </c>
      <c r="P270" t="str">
        <f>"4170062776                    "</f>
        <v xml:space="preserve">4170062776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39.11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3</v>
      </c>
      <c r="BJ270">
        <v>3.4</v>
      </c>
      <c r="BK270">
        <v>3.5</v>
      </c>
      <c r="BL270">
        <v>124.13</v>
      </c>
      <c r="BM270">
        <v>18.62</v>
      </c>
      <c r="BN270">
        <v>142.75</v>
      </c>
      <c r="BO270">
        <v>142.75</v>
      </c>
      <c r="BQ270" t="s">
        <v>834</v>
      </c>
      <c r="BR270" t="s">
        <v>97</v>
      </c>
      <c r="BS270" s="3">
        <v>45933</v>
      </c>
      <c r="BT270" s="4">
        <v>0.38263888888888886</v>
      </c>
      <c r="BU270" t="s">
        <v>835</v>
      </c>
      <c r="BV270" t="s">
        <v>86</v>
      </c>
      <c r="BY270">
        <v>16965</v>
      </c>
      <c r="BZ270" t="s">
        <v>87</v>
      </c>
      <c r="CA270" t="s">
        <v>802</v>
      </c>
      <c r="CC270" t="s">
        <v>109</v>
      </c>
      <c r="CD270">
        <v>6001</v>
      </c>
      <c r="CE270" t="s">
        <v>101</v>
      </c>
      <c r="CF270" s="3">
        <v>45933</v>
      </c>
      <c r="CI270">
        <v>1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"080068272214"</f>
        <v>080068272214</v>
      </c>
      <c r="F271" s="3">
        <v>45932</v>
      </c>
      <c r="G271">
        <v>202607</v>
      </c>
      <c r="H271" t="s">
        <v>79</v>
      </c>
      <c r="I271" t="s">
        <v>80</v>
      </c>
      <c r="J271" t="s">
        <v>91</v>
      </c>
      <c r="K271" t="s">
        <v>78</v>
      </c>
      <c r="L271" t="s">
        <v>121</v>
      </c>
      <c r="M271" t="s">
        <v>122</v>
      </c>
      <c r="N271" t="s">
        <v>707</v>
      </c>
      <c r="O271" t="s">
        <v>82</v>
      </c>
      <c r="P271" t="str">
        <f>"4170062678                    "</f>
        <v xml:space="preserve">4170062678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50.28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4.5</v>
      </c>
      <c r="BK271">
        <v>4.5</v>
      </c>
      <c r="BL271">
        <v>159.58000000000001</v>
      </c>
      <c r="BM271">
        <v>23.94</v>
      </c>
      <c r="BN271">
        <v>183.52</v>
      </c>
      <c r="BO271">
        <v>183.52</v>
      </c>
      <c r="BQ271" t="s">
        <v>708</v>
      </c>
      <c r="BR271" t="s">
        <v>97</v>
      </c>
      <c r="BS271" s="3">
        <v>45933</v>
      </c>
      <c r="BT271" s="4">
        <v>0.3888888888888889</v>
      </c>
      <c r="BU271" t="s">
        <v>823</v>
      </c>
      <c r="BV271" t="s">
        <v>86</v>
      </c>
      <c r="BY271">
        <v>22620</v>
      </c>
      <c r="CA271" t="s">
        <v>651</v>
      </c>
      <c r="CC271" t="s">
        <v>122</v>
      </c>
      <c r="CD271">
        <v>4001</v>
      </c>
      <c r="CE271" t="s">
        <v>191</v>
      </c>
      <c r="CF271" s="3">
        <v>45933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"080068272243"</f>
        <v>080068272243</v>
      </c>
      <c r="F272" s="3">
        <v>45932</v>
      </c>
      <c r="G272">
        <v>202607</v>
      </c>
      <c r="H272" t="s">
        <v>79</v>
      </c>
      <c r="I272" t="s">
        <v>80</v>
      </c>
      <c r="J272" t="s">
        <v>91</v>
      </c>
      <c r="K272" t="s">
        <v>78</v>
      </c>
      <c r="L272" t="s">
        <v>763</v>
      </c>
      <c r="M272" t="s">
        <v>764</v>
      </c>
      <c r="N272" t="s">
        <v>765</v>
      </c>
      <c r="O272" t="s">
        <v>82</v>
      </c>
      <c r="P272" t="str">
        <f>"4170062694                    "</f>
        <v xml:space="preserve">4170062694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43.31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2</v>
      </c>
      <c r="BJ272">
        <v>1.1000000000000001</v>
      </c>
      <c r="BK272">
        <v>2</v>
      </c>
      <c r="BL272">
        <v>137.47</v>
      </c>
      <c r="BM272">
        <v>20.62</v>
      </c>
      <c r="BN272">
        <v>158.09</v>
      </c>
      <c r="BO272">
        <v>158.09</v>
      </c>
      <c r="BQ272" t="s">
        <v>766</v>
      </c>
      <c r="BR272" t="s">
        <v>97</v>
      </c>
      <c r="BS272" s="3">
        <v>45933</v>
      </c>
      <c r="BT272" s="4">
        <v>0.41111111111111109</v>
      </c>
      <c r="BU272" t="s">
        <v>767</v>
      </c>
      <c r="BV272" t="s">
        <v>86</v>
      </c>
      <c r="BY272">
        <v>5510</v>
      </c>
      <c r="CA272" t="s">
        <v>768</v>
      </c>
      <c r="CC272" t="s">
        <v>764</v>
      </c>
      <c r="CD272">
        <v>2531</v>
      </c>
      <c r="CE272" t="s">
        <v>191</v>
      </c>
      <c r="CF272" s="3">
        <v>45936</v>
      </c>
      <c r="CI272">
        <v>1</v>
      </c>
      <c r="CJ272">
        <v>1</v>
      </c>
      <c r="CK272">
        <v>23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"080068272293"</f>
        <v>080068272293</v>
      </c>
      <c r="F273" s="3">
        <v>45932</v>
      </c>
      <c r="G273">
        <v>202607</v>
      </c>
      <c r="H273" t="s">
        <v>79</v>
      </c>
      <c r="I273" t="s">
        <v>80</v>
      </c>
      <c r="J273" t="s">
        <v>91</v>
      </c>
      <c r="K273" t="s">
        <v>78</v>
      </c>
      <c r="L273" t="s">
        <v>168</v>
      </c>
      <c r="M273" t="s">
        <v>169</v>
      </c>
      <c r="N273" t="s">
        <v>836</v>
      </c>
      <c r="O273" t="s">
        <v>95</v>
      </c>
      <c r="P273" t="str">
        <f>"4170062687                    "</f>
        <v xml:space="preserve">4170062687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43.23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3</v>
      </c>
      <c r="BJ273">
        <v>3.4</v>
      </c>
      <c r="BK273">
        <v>4</v>
      </c>
      <c r="BL273">
        <v>143.08000000000001</v>
      </c>
      <c r="BM273">
        <v>21.46</v>
      </c>
      <c r="BN273">
        <v>164.54</v>
      </c>
      <c r="BO273">
        <v>164.54</v>
      </c>
      <c r="BQ273" t="s">
        <v>837</v>
      </c>
      <c r="BR273" t="s">
        <v>97</v>
      </c>
      <c r="BS273" s="3">
        <v>45933</v>
      </c>
      <c r="BT273" s="4">
        <v>0.4375</v>
      </c>
      <c r="BU273" t="s">
        <v>838</v>
      </c>
      <c r="BV273" t="s">
        <v>86</v>
      </c>
      <c r="BY273">
        <v>17024</v>
      </c>
      <c r="BZ273" t="s">
        <v>99</v>
      </c>
      <c r="CC273" t="s">
        <v>169</v>
      </c>
      <c r="CD273" s="5" t="s">
        <v>839</v>
      </c>
      <c r="CE273" t="s">
        <v>101</v>
      </c>
      <c r="CF273" s="3">
        <v>45933</v>
      </c>
      <c r="CI273">
        <v>1</v>
      </c>
      <c r="CJ273">
        <v>1</v>
      </c>
      <c r="CK273">
        <v>41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"080068272563"</f>
        <v>080068272563</v>
      </c>
      <c r="F274" s="3">
        <v>45932</v>
      </c>
      <c r="G274">
        <v>202607</v>
      </c>
      <c r="H274" t="s">
        <v>79</v>
      </c>
      <c r="I274" t="s">
        <v>80</v>
      </c>
      <c r="J274" t="s">
        <v>91</v>
      </c>
      <c r="K274" t="s">
        <v>78</v>
      </c>
      <c r="L274" t="s">
        <v>453</v>
      </c>
      <c r="M274" t="s">
        <v>454</v>
      </c>
      <c r="N274" t="s">
        <v>581</v>
      </c>
      <c r="O274" t="s">
        <v>82</v>
      </c>
      <c r="P274" t="str">
        <f>"4170062739                    "</f>
        <v xml:space="preserve">4170062739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22.36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70.959999999999994</v>
      </c>
      <c r="BM274">
        <v>10.64</v>
      </c>
      <c r="BN274">
        <v>81.599999999999994</v>
      </c>
      <c r="BO274">
        <v>81.599999999999994</v>
      </c>
      <c r="BQ274" t="s">
        <v>582</v>
      </c>
      <c r="BR274" t="s">
        <v>97</v>
      </c>
      <c r="BS274" s="3">
        <v>45933</v>
      </c>
      <c r="BT274" s="4">
        <v>0.375</v>
      </c>
      <c r="BU274" t="s">
        <v>583</v>
      </c>
      <c r="BV274" t="s">
        <v>86</v>
      </c>
      <c r="BY274">
        <v>1200</v>
      </c>
      <c r="CA274" t="s">
        <v>742</v>
      </c>
      <c r="CC274" t="s">
        <v>454</v>
      </c>
      <c r="CD274">
        <v>3610</v>
      </c>
      <c r="CE274" t="s">
        <v>147</v>
      </c>
      <c r="CF274" s="3">
        <v>45934</v>
      </c>
      <c r="CI274">
        <v>1</v>
      </c>
      <c r="CJ274">
        <v>1</v>
      </c>
      <c r="CK274">
        <v>21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"080068272582"</f>
        <v>080068272582</v>
      </c>
      <c r="F275" s="3">
        <v>45932</v>
      </c>
      <c r="G275">
        <v>202607</v>
      </c>
      <c r="H275" t="s">
        <v>79</v>
      </c>
      <c r="I275" t="s">
        <v>80</v>
      </c>
      <c r="J275" t="s">
        <v>91</v>
      </c>
      <c r="K275" t="s">
        <v>78</v>
      </c>
      <c r="L275" t="s">
        <v>430</v>
      </c>
      <c r="M275" t="s">
        <v>431</v>
      </c>
      <c r="N275" t="s">
        <v>432</v>
      </c>
      <c r="O275" t="s">
        <v>82</v>
      </c>
      <c r="P275" t="str">
        <f>"4170062757                    "</f>
        <v xml:space="preserve">4170062757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43.31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137.47</v>
      </c>
      <c r="BM275">
        <v>20.62</v>
      </c>
      <c r="BN275">
        <v>158.09</v>
      </c>
      <c r="BO275">
        <v>158.09</v>
      </c>
      <c r="BQ275" t="s">
        <v>433</v>
      </c>
      <c r="BR275" t="s">
        <v>97</v>
      </c>
      <c r="BS275" s="3">
        <v>45936</v>
      </c>
      <c r="BT275" s="4">
        <v>0.40486111111111112</v>
      </c>
      <c r="BU275" t="s">
        <v>840</v>
      </c>
      <c r="BV275" t="s">
        <v>86</v>
      </c>
      <c r="BY275">
        <v>1200</v>
      </c>
      <c r="CA275" t="s">
        <v>841</v>
      </c>
      <c r="CC275" t="s">
        <v>431</v>
      </c>
      <c r="CD275">
        <v>4490</v>
      </c>
      <c r="CE275" t="s">
        <v>147</v>
      </c>
      <c r="CF275" s="3">
        <v>45936</v>
      </c>
      <c r="CI275">
        <v>5</v>
      </c>
      <c r="CJ275">
        <v>2</v>
      </c>
      <c r="CK275">
        <v>23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"080068272581"</f>
        <v>080068272581</v>
      </c>
      <c r="F276" s="3">
        <v>45932</v>
      </c>
      <c r="G276">
        <v>202607</v>
      </c>
      <c r="H276" t="s">
        <v>79</v>
      </c>
      <c r="I276" t="s">
        <v>80</v>
      </c>
      <c r="J276" t="s">
        <v>91</v>
      </c>
      <c r="K276" t="s">
        <v>78</v>
      </c>
      <c r="L276" t="s">
        <v>108</v>
      </c>
      <c r="M276" t="s">
        <v>109</v>
      </c>
      <c r="N276" t="s">
        <v>842</v>
      </c>
      <c r="O276" t="s">
        <v>82</v>
      </c>
      <c r="P276" t="str">
        <f>"4170062751                    "</f>
        <v xml:space="preserve">4170062751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100.54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9</v>
      </c>
      <c r="BJ276">
        <v>3.4</v>
      </c>
      <c r="BK276">
        <v>9</v>
      </c>
      <c r="BL276">
        <v>319.10000000000002</v>
      </c>
      <c r="BM276">
        <v>47.87</v>
      </c>
      <c r="BN276">
        <v>366.97</v>
      </c>
      <c r="BO276">
        <v>366.97</v>
      </c>
      <c r="BQ276" t="s">
        <v>843</v>
      </c>
      <c r="BR276" t="s">
        <v>97</v>
      </c>
      <c r="BS276" s="3">
        <v>45933</v>
      </c>
      <c r="BT276" s="4">
        <v>0.40555555555555556</v>
      </c>
      <c r="BU276" t="s">
        <v>844</v>
      </c>
      <c r="BV276" t="s">
        <v>86</v>
      </c>
      <c r="BY276">
        <v>16762</v>
      </c>
      <c r="BZ276" t="s">
        <v>87</v>
      </c>
      <c r="CA276" t="s">
        <v>551</v>
      </c>
      <c r="CC276" t="s">
        <v>109</v>
      </c>
      <c r="CD276">
        <v>6012</v>
      </c>
      <c r="CE276" t="s">
        <v>107</v>
      </c>
      <c r="CF276" s="3">
        <v>45933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"080068272603"</f>
        <v>080068272603</v>
      </c>
      <c r="F277" s="3">
        <v>45932</v>
      </c>
      <c r="G277">
        <v>202607</v>
      </c>
      <c r="H277" t="s">
        <v>79</v>
      </c>
      <c r="I277" t="s">
        <v>80</v>
      </c>
      <c r="J277" t="s">
        <v>91</v>
      </c>
      <c r="K277" t="s">
        <v>78</v>
      </c>
      <c r="L277" t="s">
        <v>605</v>
      </c>
      <c r="M277" t="s">
        <v>606</v>
      </c>
      <c r="N277" t="s">
        <v>607</v>
      </c>
      <c r="O277" t="s">
        <v>82</v>
      </c>
      <c r="P277" t="str">
        <f>"4170062652                    "</f>
        <v xml:space="preserve">4170062652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43.31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137.47</v>
      </c>
      <c r="BM277">
        <v>20.62</v>
      </c>
      <c r="BN277">
        <v>158.09</v>
      </c>
      <c r="BO277">
        <v>158.09</v>
      </c>
      <c r="BQ277" t="s">
        <v>608</v>
      </c>
      <c r="BR277" t="s">
        <v>97</v>
      </c>
      <c r="BS277" s="3">
        <v>45933</v>
      </c>
      <c r="BT277" s="4">
        <v>0.33680555555555558</v>
      </c>
      <c r="BU277" t="s">
        <v>609</v>
      </c>
      <c r="BV277" t="s">
        <v>86</v>
      </c>
      <c r="BY277">
        <v>1200</v>
      </c>
      <c r="BZ277" t="s">
        <v>87</v>
      </c>
      <c r="CA277" t="s">
        <v>610</v>
      </c>
      <c r="CC277" t="s">
        <v>606</v>
      </c>
      <c r="CD277">
        <v>1947</v>
      </c>
      <c r="CE277" t="s">
        <v>120</v>
      </c>
      <c r="CF277" s="3">
        <v>45936</v>
      </c>
      <c r="CI277">
        <v>1</v>
      </c>
      <c r="CJ277">
        <v>1</v>
      </c>
      <c r="CK277">
        <v>23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"080068272627"</f>
        <v>080068272627</v>
      </c>
      <c r="F278" s="3">
        <v>45932</v>
      </c>
      <c r="G278">
        <v>202607</v>
      </c>
      <c r="H278" t="s">
        <v>79</v>
      </c>
      <c r="I278" t="s">
        <v>80</v>
      </c>
      <c r="J278" t="s">
        <v>91</v>
      </c>
      <c r="K278" t="s">
        <v>78</v>
      </c>
      <c r="L278" t="s">
        <v>453</v>
      </c>
      <c r="M278" t="s">
        <v>454</v>
      </c>
      <c r="N278" t="s">
        <v>845</v>
      </c>
      <c r="O278" t="s">
        <v>82</v>
      </c>
      <c r="P278" t="str">
        <f>"4170062660                    "</f>
        <v xml:space="preserve">4170062660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22.36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70.959999999999994</v>
      </c>
      <c r="BM278">
        <v>10.64</v>
      </c>
      <c r="BN278">
        <v>81.599999999999994</v>
      </c>
      <c r="BO278">
        <v>81.599999999999994</v>
      </c>
      <c r="BQ278" t="s">
        <v>846</v>
      </c>
      <c r="BR278" t="s">
        <v>97</v>
      </c>
      <c r="BS278" s="3">
        <v>45933</v>
      </c>
      <c r="BT278" s="4">
        <v>0.38958333333333334</v>
      </c>
      <c r="BU278" t="s">
        <v>847</v>
      </c>
      <c r="BV278" t="s">
        <v>86</v>
      </c>
      <c r="BY278">
        <v>1200</v>
      </c>
      <c r="BZ278" t="s">
        <v>87</v>
      </c>
      <c r="CA278" t="s">
        <v>848</v>
      </c>
      <c r="CC278" t="s">
        <v>454</v>
      </c>
      <c r="CD278">
        <v>3610</v>
      </c>
      <c r="CE278" t="s">
        <v>120</v>
      </c>
      <c r="CF278" s="3">
        <v>45933</v>
      </c>
      <c r="CI278">
        <v>1</v>
      </c>
      <c r="CJ278">
        <v>1</v>
      </c>
      <c r="CK278">
        <v>21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"080068272633"</f>
        <v>080068272633</v>
      </c>
      <c r="F279" s="3">
        <v>45932</v>
      </c>
      <c r="G279">
        <v>202607</v>
      </c>
      <c r="H279" t="s">
        <v>79</v>
      </c>
      <c r="I279" t="s">
        <v>80</v>
      </c>
      <c r="J279" t="s">
        <v>91</v>
      </c>
      <c r="K279" t="s">
        <v>78</v>
      </c>
      <c r="L279" t="s">
        <v>148</v>
      </c>
      <c r="M279" t="s">
        <v>149</v>
      </c>
      <c r="N279" t="s">
        <v>849</v>
      </c>
      <c r="O279" t="s">
        <v>82</v>
      </c>
      <c r="P279" t="str">
        <f>"4170062651                    "</f>
        <v xml:space="preserve">4170062651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17.46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1.9</v>
      </c>
      <c r="BK279">
        <v>2</v>
      </c>
      <c r="BL279">
        <v>55.42</v>
      </c>
      <c r="BM279">
        <v>8.31</v>
      </c>
      <c r="BN279">
        <v>63.73</v>
      </c>
      <c r="BO279">
        <v>63.73</v>
      </c>
      <c r="BQ279" t="s">
        <v>850</v>
      </c>
      <c r="BR279" t="s">
        <v>97</v>
      </c>
      <c r="BS279" s="3">
        <v>45933</v>
      </c>
      <c r="BT279" s="4">
        <v>0.39930555555555558</v>
      </c>
      <c r="BU279" t="s">
        <v>851</v>
      </c>
      <c r="BV279" t="s">
        <v>86</v>
      </c>
      <c r="BY279">
        <v>9600</v>
      </c>
      <c r="BZ279" t="s">
        <v>87</v>
      </c>
      <c r="CA279" t="s">
        <v>773</v>
      </c>
      <c r="CC279" t="s">
        <v>149</v>
      </c>
      <c r="CD279">
        <v>2094</v>
      </c>
      <c r="CE279" t="s">
        <v>101</v>
      </c>
      <c r="CF279" s="3">
        <v>45933</v>
      </c>
      <c r="CI279">
        <v>1</v>
      </c>
      <c r="CJ279">
        <v>1</v>
      </c>
      <c r="CK279">
        <v>22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"080068272656"</f>
        <v>080068272656</v>
      </c>
      <c r="F280" s="3">
        <v>45932</v>
      </c>
      <c r="G280">
        <v>202607</v>
      </c>
      <c r="H280" t="s">
        <v>79</v>
      </c>
      <c r="I280" t="s">
        <v>80</v>
      </c>
      <c r="J280" t="s">
        <v>91</v>
      </c>
      <c r="K280" t="s">
        <v>78</v>
      </c>
      <c r="L280" t="s">
        <v>92</v>
      </c>
      <c r="M280" t="s">
        <v>93</v>
      </c>
      <c r="N280" t="s">
        <v>601</v>
      </c>
      <c r="O280" t="s">
        <v>82</v>
      </c>
      <c r="P280" t="str">
        <f>"4170062634                    "</f>
        <v xml:space="preserve">4170062634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22.36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70.959999999999994</v>
      </c>
      <c r="BM280">
        <v>10.64</v>
      </c>
      <c r="BN280">
        <v>81.599999999999994</v>
      </c>
      <c r="BO280">
        <v>81.599999999999994</v>
      </c>
      <c r="BQ280" t="s">
        <v>602</v>
      </c>
      <c r="BR280" t="s">
        <v>97</v>
      </c>
      <c r="BS280" s="3">
        <v>45933</v>
      </c>
      <c r="BT280" s="4">
        <v>0.53125</v>
      </c>
      <c r="BU280" t="s">
        <v>852</v>
      </c>
      <c r="BV280" t="s">
        <v>86</v>
      </c>
      <c r="BY280">
        <v>1200</v>
      </c>
      <c r="BZ280" t="s">
        <v>87</v>
      </c>
      <c r="CC280" t="s">
        <v>93</v>
      </c>
      <c r="CD280">
        <v>3212</v>
      </c>
      <c r="CE280" t="s">
        <v>120</v>
      </c>
      <c r="CF280" s="3">
        <v>45934</v>
      </c>
      <c r="CI280">
        <v>2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"080068272687"</f>
        <v>080068272687</v>
      </c>
      <c r="F281" s="3">
        <v>45932</v>
      </c>
      <c r="G281">
        <v>202607</v>
      </c>
      <c r="H281" t="s">
        <v>79</v>
      </c>
      <c r="I281" t="s">
        <v>80</v>
      </c>
      <c r="J281" t="s">
        <v>91</v>
      </c>
      <c r="K281" t="s">
        <v>78</v>
      </c>
      <c r="L281" t="s">
        <v>121</v>
      </c>
      <c r="M281" t="s">
        <v>122</v>
      </c>
      <c r="N281" t="s">
        <v>123</v>
      </c>
      <c r="O281" t="s">
        <v>82</v>
      </c>
      <c r="P281" t="str">
        <f>"4170062670                    "</f>
        <v xml:space="preserve">4170062670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22.36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70.959999999999994</v>
      </c>
      <c r="BM281">
        <v>10.64</v>
      </c>
      <c r="BN281">
        <v>81.599999999999994</v>
      </c>
      <c r="BO281">
        <v>81.599999999999994</v>
      </c>
      <c r="BQ281" t="s">
        <v>124</v>
      </c>
      <c r="BR281" t="s">
        <v>97</v>
      </c>
      <c r="BS281" s="3">
        <v>45933</v>
      </c>
      <c r="BT281" s="4">
        <v>0.33819444444444446</v>
      </c>
      <c r="BU281" t="s">
        <v>757</v>
      </c>
      <c r="BV281" t="s">
        <v>86</v>
      </c>
      <c r="BY281">
        <v>1200</v>
      </c>
      <c r="BZ281" t="s">
        <v>87</v>
      </c>
      <c r="CA281" t="s">
        <v>758</v>
      </c>
      <c r="CC281" t="s">
        <v>122</v>
      </c>
      <c r="CD281">
        <v>4000</v>
      </c>
      <c r="CE281" t="s">
        <v>120</v>
      </c>
      <c r="CF281" s="3">
        <v>45933</v>
      </c>
      <c r="CI281">
        <v>1</v>
      </c>
      <c r="CJ281">
        <v>1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"080068272685"</f>
        <v>080068272685</v>
      </c>
      <c r="F282" s="3">
        <v>45932</v>
      </c>
      <c r="G282">
        <v>202607</v>
      </c>
      <c r="H282" t="s">
        <v>79</v>
      </c>
      <c r="I282" t="s">
        <v>80</v>
      </c>
      <c r="J282" t="s">
        <v>91</v>
      </c>
      <c r="K282" t="s">
        <v>78</v>
      </c>
      <c r="L282" t="s">
        <v>853</v>
      </c>
      <c r="M282" t="s">
        <v>854</v>
      </c>
      <c r="N282" t="s">
        <v>855</v>
      </c>
      <c r="O282" t="s">
        <v>82</v>
      </c>
      <c r="P282" t="str">
        <f>"4170062759                    "</f>
        <v xml:space="preserve">4170062759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83.78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3</v>
      </c>
      <c r="BJ282">
        <v>7.4</v>
      </c>
      <c r="BK282">
        <v>7.5</v>
      </c>
      <c r="BL282">
        <v>265.92</v>
      </c>
      <c r="BM282">
        <v>39.89</v>
      </c>
      <c r="BN282">
        <v>305.81</v>
      </c>
      <c r="BO282">
        <v>305.81</v>
      </c>
      <c r="BQ282" t="s">
        <v>856</v>
      </c>
      <c r="BR282" t="s">
        <v>97</v>
      </c>
      <c r="BS282" s="3">
        <v>45933</v>
      </c>
      <c r="BT282" s="4">
        <v>0.65972222222222221</v>
      </c>
      <c r="BU282" t="s">
        <v>857</v>
      </c>
      <c r="BV282" t="s">
        <v>90</v>
      </c>
      <c r="BW282" t="s">
        <v>136</v>
      </c>
      <c r="BX282" t="s">
        <v>858</v>
      </c>
      <c r="BY282">
        <v>36822</v>
      </c>
      <c r="CA282" t="s">
        <v>859</v>
      </c>
      <c r="CC282" t="s">
        <v>854</v>
      </c>
      <c r="CD282">
        <v>4120</v>
      </c>
      <c r="CE282" t="s">
        <v>191</v>
      </c>
      <c r="CF282" s="3">
        <v>45933</v>
      </c>
      <c r="CI282">
        <v>1</v>
      </c>
      <c r="CJ282">
        <v>1</v>
      </c>
      <c r="CK282">
        <v>21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"080068272714"</f>
        <v>080068272714</v>
      </c>
      <c r="F283" s="3">
        <v>45932</v>
      </c>
      <c r="G283">
        <v>202607</v>
      </c>
      <c r="H283" t="s">
        <v>79</v>
      </c>
      <c r="I283" t="s">
        <v>80</v>
      </c>
      <c r="J283" t="s">
        <v>91</v>
      </c>
      <c r="K283" t="s">
        <v>78</v>
      </c>
      <c r="L283" t="s">
        <v>406</v>
      </c>
      <c r="M283" t="s">
        <v>407</v>
      </c>
      <c r="N283" t="s">
        <v>860</v>
      </c>
      <c r="O283" t="s">
        <v>82</v>
      </c>
      <c r="P283" t="str">
        <f>"4170062603                    "</f>
        <v xml:space="preserve">4170062603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31.44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99.79</v>
      </c>
      <c r="BM283">
        <v>14.97</v>
      </c>
      <c r="BN283">
        <v>114.76</v>
      </c>
      <c r="BO283">
        <v>114.76</v>
      </c>
      <c r="BQ283" t="s">
        <v>861</v>
      </c>
      <c r="BR283" t="s">
        <v>97</v>
      </c>
      <c r="BS283" s="3">
        <v>45933</v>
      </c>
      <c r="BT283" s="4">
        <v>0.38680555555555557</v>
      </c>
      <c r="BU283" t="s">
        <v>862</v>
      </c>
      <c r="BV283" t="s">
        <v>86</v>
      </c>
      <c r="BY283">
        <v>1200</v>
      </c>
      <c r="CA283" t="s">
        <v>800</v>
      </c>
      <c r="CC283" t="s">
        <v>407</v>
      </c>
      <c r="CD283">
        <v>1438</v>
      </c>
      <c r="CE283" t="s">
        <v>147</v>
      </c>
      <c r="CF283" s="3">
        <v>45934</v>
      </c>
      <c r="CI283">
        <v>1</v>
      </c>
      <c r="CJ283">
        <v>1</v>
      </c>
      <c r="CK283">
        <v>24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"080068272744"</f>
        <v>080068272744</v>
      </c>
      <c r="F284" s="3">
        <v>45932</v>
      </c>
      <c r="G284">
        <v>202607</v>
      </c>
      <c r="H284" t="s">
        <v>79</v>
      </c>
      <c r="I284" t="s">
        <v>80</v>
      </c>
      <c r="J284" t="s">
        <v>91</v>
      </c>
      <c r="K284" t="s">
        <v>78</v>
      </c>
      <c r="L284" t="s">
        <v>333</v>
      </c>
      <c r="M284" t="s">
        <v>334</v>
      </c>
      <c r="N284" t="s">
        <v>335</v>
      </c>
      <c r="O284" t="s">
        <v>82</v>
      </c>
      <c r="P284" t="str">
        <f>"4170062673                    "</f>
        <v xml:space="preserve">4170062673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22.36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70.959999999999994</v>
      </c>
      <c r="BM284">
        <v>10.64</v>
      </c>
      <c r="BN284">
        <v>81.599999999999994</v>
      </c>
      <c r="BO284">
        <v>81.599999999999994</v>
      </c>
      <c r="BQ284" t="s">
        <v>336</v>
      </c>
      <c r="BR284" t="s">
        <v>97</v>
      </c>
      <c r="BS284" s="3">
        <v>45933</v>
      </c>
      <c r="BT284" s="4">
        <v>0.58472222222222225</v>
      </c>
      <c r="BU284" t="s">
        <v>863</v>
      </c>
      <c r="BV284" t="s">
        <v>90</v>
      </c>
      <c r="BW284" t="s">
        <v>864</v>
      </c>
      <c r="BX284" t="s">
        <v>865</v>
      </c>
      <c r="BY284">
        <v>1200</v>
      </c>
      <c r="CC284" t="s">
        <v>334</v>
      </c>
      <c r="CD284">
        <v>6220</v>
      </c>
      <c r="CE284" t="s">
        <v>147</v>
      </c>
      <c r="CF284" s="3">
        <v>45936</v>
      </c>
      <c r="CI284">
        <v>1</v>
      </c>
      <c r="CJ284">
        <v>1</v>
      </c>
      <c r="CK284">
        <v>21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"080068272766"</f>
        <v>080068272766</v>
      </c>
      <c r="F285" s="3">
        <v>45932</v>
      </c>
      <c r="G285">
        <v>202607</v>
      </c>
      <c r="H285" t="s">
        <v>79</v>
      </c>
      <c r="I285" t="s">
        <v>80</v>
      </c>
      <c r="J285" t="s">
        <v>91</v>
      </c>
      <c r="K285" t="s">
        <v>78</v>
      </c>
      <c r="L285" t="s">
        <v>281</v>
      </c>
      <c r="M285" t="s">
        <v>282</v>
      </c>
      <c r="N285" t="s">
        <v>866</v>
      </c>
      <c r="O285" t="s">
        <v>82</v>
      </c>
      <c r="P285" t="str">
        <f>"4170062602                    "</f>
        <v xml:space="preserve">4170062602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43.31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137.47</v>
      </c>
      <c r="BM285">
        <v>20.62</v>
      </c>
      <c r="BN285">
        <v>158.09</v>
      </c>
      <c r="BO285">
        <v>158.09</v>
      </c>
      <c r="BQ285" t="s">
        <v>867</v>
      </c>
      <c r="BR285" t="s">
        <v>97</v>
      </c>
      <c r="BS285" s="3">
        <v>45937</v>
      </c>
      <c r="BT285" s="4">
        <v>0.4375</v>
      </c>
      <c r="BU285" t="s">
        <v>868</v>
      </c>
      <c r="BV285" t="s">
        <v>90</v>
      </c>
      <c r="BW285" t="s">
        <v>771</v>
      </c>
      <c r="BX285" t="s">
        <v>677</v>
      </c>
      <c r="BY285">
        <v>1200</v>
      </c>
      <c r="CC285" t="s">
        <v>282</v>
      </c>
      <c r="CD285">
        <v>1871</v>
      </c>
      <c r="CE285" t="s">
        <v>147</v>
      </c>
      <c r="CF285" s="3">
        <v>45938</v>
      </c>
      <c r="CI285">
        <v>1</v>
      </c>
      <c r="CJ285">
        <v>3</v>
      </c>
      <c r="CK285">
        <v>23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"080068272783"</f>
        <v>080068272783</v>
      </c>
      <c r="F286" s="3">
        <v>45932</v>
      </c>
      <c r="G286">
        <v>202607</v>
      </c>
      <c r="H286" t="s">
        <v>79</v>
      </c>
      <c r="I286" t="s">
        <v>80</v>
      </c>
      <c r="J286" t="s">
        <v>91</v>
      </c>
      <c r="K286" t="s">
        <v>78</v>
      </c>
      <c r="L286" t="s">
        <v>148</v>
      </c>
      <c r="M286" t="s">
        <v>149</v>
      </c>
      <c r="N286" t="s">
        <v>869</v>
      </c>
      <c r="O286" t="s">
        <v>95</v>
      </c>
      <c r="P286" t="str">
        <f>"4170062686                    "</f>
        <v xml:space="preserve">4170062686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49.94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3</v>
      </c>
      <c r="BI286">
        <v>32</v>
      </c>
      <c r="BJ286">
        <v>22.9</v>
      </c>
      <c r="BK286">
        <v>32</v>
      </c>
      <c r="BL286">
        <v>164.37</v>
      </c>
      <c r="BM286">
        <v>24.66</v>
      </c>
      <c r="BN286">
        <v>189.03</v>
      </c>
      <c r="BO286">
        <v>189.03</v>
      </c>
      <c r="BQ286" t="s">
        <v>870</v>
      </c>
      <c r="BR286" t="s">
        <v>97</v>
      </c>
      <c r="BS286" s="3">
        <v>45936</v>
      </c>
      <c r="BT286" s="4">
        <v>0.43333333333333335</v>
      </c>
      <c r="BU286" t="s">
        <v>871</v>
      </c>
      <c r="BV286" t="s">
        <v>90</v>
      </c>
      <c r="BW286" t="s">
        <v>188</v>
      </c>
      <c r="BX286" t="s">
        <v>772</v>
      </c>
      <c r="BY286">
        <v>69682</v>
      </c>
      <c r="CA286" t="s">
        <v>872</v>
      </c>
      <c r="CC286" t="s">
        <v>149</v>
      </c>
      <c r="CD286">
        <v>2092</v>
      </c>
      <c r="CE286" t="s">
        <v>191</v>
      </c>
      <c r="CF286" s="3">
        <v>45937</v>
      </c>
      <c r="CI286">
        <v>1</v>
      </c>
      <c r="CJ286">
        <v>2</v>
      </c>
      <c r="CK286">
        <v>42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"080068272829"</f>
        <v>080068272829</v>
      </c>
      <c r="F287" s="3">
        <v>45932</v>
      </c>
      <c r="G287">
        <v>202607</v>
      </c>
      <c r="H287" t="s">
        <v>79</v>
      </c>
      <c r="I287" t="s">
        <v>80</v>
      </c>
      <c r="J287" t="s">
        <v>91</v>
      </c>
      <c r="K287" t="s">
        <v>78</v>
      </c>
      <c r="L287" t="s">
        <v>223</v>
      </c>
      <c r="M287" t="s">
        <v>224</v>
      </c>
      <c r="N287" t="s">
        <v>570</v>
      </c>
      <c r="O287" t="s">
        <v>226</v>
      </c>
      <c r="P287" t="str">
        <f>"4170062758                    "</f>
        <v xml:space="preserve">4170062758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17.47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8</v>
      </c>
      <c r="BJ287">
        <v>4.0999999999999996</v>
      </c>
      <c r="BK287">
        <v>8</v>
      </c>
      <c r="BL287">
        <v>55.44</v>
      </c>
      <c r="BM287">
        <v>8.32</v>
      </c>
      <c r="BN287">
        <v>63.76</v>
      </c>
      <c r="BO287">
        <v>63.76</v>
      </c>
      <c r="BQ287" t="s">
        <v>571</v>
      </c>
      <c r="BR287" t="s">
        <v>97</v>
      </c>
      <c r="BS287" s="3">
        <v>45933</v>
      </c>
      <c r="BT287" s="4">
        <v>0.40486111111111112</v>
      </c>
      <c r="BU287" t="s">
        <v>725</v>
      </c>
      <c r="BV287" t="s">
        <v>86</v>
      </c>
      <c r="BY287">
        <v>20358</v>
      </c>
      <c r="BZ287" t="s">
        <v>99</v>
      </c>
      <c r="CA287" t="s">
        <v>726</v>
      </c>
      <c r="CC287" t="s">
        <v>224</v>
      </c>
      <c r="CD287">
        <v>1459</v>
      </c>
      <c r="CE287" t="s">
        <v>101</v>
      </c>
      <c r="CF287" s="3">
        <v>45933</v>
      </c>
      <c r="CI287">
        <v>1</v>
      </c>
      <c r="CJ287">
        <v>1</v>
      </c>
      <c r="CK287">
        <v>32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"080068272868"</f>
        <v>080068272868</v>
      </c>
      <c r="F288" s="3">
        <v>45932</v>
      </c>
      <c r="G288">
        <v>202607</v>
      </c>
      <c r="H288" t="s">
        <v>79</v>
      </c>
      <c r="I288" t="s">
        <v>80</v>
      </c>
      <c r="J288" t="s">
        <v>91</v>
      </c>
      <c r="K288" t="s">
        <v>78</v>
      </c>
      <c r="L288" t="s">
        <v>168</v>
      </c>
      <c r="M288" t="s">
        <v>169</v>
      </c>
      <c r="N288" t="s">
        <v>873</v>
      </c>
      <c r="O288" t="s">
        <v>82</v>
      </c>
      <c r="P288" t="str">
        <f>"4170062659                    "</f>
        <v xml:space="preserve">4170062659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22.36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1.7</v>
      </c>
      <c r="BK288">
        <v>2</v>
      </c>
      <c r="BL288">
        <v>70.959999999999994</v>
      </c>
      <c r="BM288">
        <v>10.64</v>
      </c>
      <c r="BN288">
        <v>81.599999999999994</v>
      </c>
      <c r="BO288">
        <v>81.599999999999994</v>
      </c>
      <c r="BQ288" t="s">
        <v>874</v>
      </c>
      <c r="BR288" t="s">
        <v>97</v>
      </c>
      <c r="BS288" s="3">
        <v>45933</v>
      </c>
      <c r="BT288" s="4">
        <v>0.62083333333333335</v>
      </c>
      <c r="BU288" t="s">
        <v>875</v>
      </c>
      <c r="BV288" t="s">
        <v>86</v>
      </c>
      <c r="BY288">
        <v>8512</v>
      </c>
      <c r="CA288" t="s">
        <v>876</v>
      </c>
      <c r="CC288" t="s">
        <v>169</v>
      </c>
      <c r="CD288" s="5" t="s">
        <v>877</v>
      </c>
      <c r="CE288" t="s">
        <v>191</v>
      </c>
      <c r="CF288" s="3">
        <v>45933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"080068273058"</f>
        <v>080068273058</v>
      </c>
      <c r="F289" s="3">
        <v>45932</v>
      </c>
      <c r="G289">
        <v>202607</v>
      </c>
      <c r="H289" t="s">
        <v>79</v>
      </c>
      <c r="I289" t="s">
        <v>80</v>
      </c>
      <c r="J289" t="s">
        <v>91</v>
      </c>
      <c r="K289" t="s">
        <v>78</v>
      </c>
      <c r="L289" t="s">
        <v>79</v>
      </c>
      <c r="M289" t="s">
        <v>80</v>
      </c>
      <c r="N289" t="s">
        <v>878</v>
      </c>
      <c r="O289" t="s">
        <v>82</v>
      </c>
      <c r="P289" t="str">
        <f>"4170062620                    "</f>
        <v xml:space="preserve">4170062620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17.46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55.42</v>
      </c>
      <c r="BM289">
        <v>8.31</v>
      </c>
      <c r="BN289">
        <v>63.73</v>
      </c>
      <c r="BO289">
        <v>63.73</v>
      </c>
      <c r="BQ289" t="s">
        <v>879</v>
      </c>
      <c r="BR289" t="s">
        <v>97</v>
      </c>
      <c r="BS289" s="3">
        <v>45933</v>
      </c>
      <c r="BT289" s="4">
        <v>0.39374999999999999</v>
      </c>
      <c r="BU289" t="s">
        <v>880</v>
      </c>
      <c r="BV289" t="s">
        <v>86</v>
      </c>
      <c r="BY289">
        <v>1200</v>
      </c>
      <c r="CA289" t="s">
        <v>360</v>
      </c>
      <c r="CC289" t="s">
        <v>80</v>
      </c>
      <c r="CD289">
        <v>1609</v>
      </c>
      <c r="CE289" t="s">
        <v>147</v>
      </c>
      <c r="CF289" s="3">
        <v>45934</v>
      </c>
      <c r="CI289">
        <v>1</v>
      </c>
      <c r="CJ289">
        <v>1</v>
      </c>
      <c r="CK289">
        <v>22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"080068273060"</f>
        <v>080068273060</v>
      </c>
      <c r="F290" s="3">
        <v>45932</v>
      </c>
      <c r="G290">
        <v>202607</v>
      </c>
      <c r="H290" t="s">
        <v>79</v>
      </c>
      <c r="I290" t="s">
        <v>80</v>
      </c>
      <c r="J290" t="s">
        <v>91</v>
      </c>
      <c r="K290" t="s">
        <v>78</v>
      </c>
      <c r="L290" t="s">
        <v>148</v>
      </c>
      <c r="M290" t="s">
        <v>149</v>
      </c>
      <c r="N290" t="s">
        <v>465</v>
      </c>
      <c r="O290" t="s">
        <v>82</v>
      </c>
      <c r="P290" t="str">
        <f>"4170062644                    "</f>
        <v xml:space="preserve">4170062644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17.46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2</v>
      </c>
      <c r="BJ290">
        <v>1.1000000000000001</v>
      </c>
      <c r="BK290">
        <v>2</v>
      </c>
      <c r="BL290">
        <v>55.42</v>
      </c>
      <c r="BM290">
        <v>8.31</v>
      </c>
      <c r="BN290">
        <v>63.73</v>
      </c>
      <c r="BO290">
        <v>63.73</v>
      </c>
      <c r="BQ290" t="s">
        <v>466</v>
      </c>
      <c r="BR290" t="s">
        <v>97</v>
      </c>
      <c r="BS290" s="3">
        <v>45933</v>
      </c>
      <c r="BT290" s="4">
        <v>0.43958333333333333</v>
      </c>
      <c r="BU290" t="s">
        <v>518</v>
      </c>
      <c r="BV290" t="s">
        <v>90</v>
      </c>
      <c r="BW290" t="s">
        <v>771</v>
      </c>
      <c r="BX290" t="s">
        <v>772</v>
      </c>
      <c r="BY290">
        <v>5510</v>
      </c>
      <c r="BZ290" t="s">
        <v>87</v>
      </c>
      <c r="CA290" t="s">
        <v>773</v>
      </c>
      <c r="CC290" t="s">
        <v>149</v>
      </c>
      <c r="CD290">
        <v>2094</v>
      </c>
      <c r="CE290" t="s">
        <v>101</v>
      </c>
      <c r="CF290" s="3">
        <v>45933</v>
      </c>
      <c r="CI290">
        <v>1</v>
      </c>
      <c r="CJ290">
        <v>1</v>
      </c>
      <c r="CK290">
        <v>22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"080068273093"</f>
        <v>080068273093</v>
      </c>
      <c r="F291" s="3">
        <v>45932</v>
      </c>
      <c r="G291">
        <v>202607</v>
      </c>
      <c r="H291" t="s">
        <v>79</v>
      </c>
      <c r="I291" t="s">
        <v>80</v>
      </c>
      <c r="J291" t="s">
        <v>91</v>
      </c>
      <c r="K291" t="s">
        <v>78</v>
      </c>
      <c r="L291" t="s">
        <v>206</v>
      </c>
      <c r="M291" t="s">
        <v>207</v>
      </c>
      <c r="N291" t="s">
        <v>477</v>
      </c>
      <c r="O291" t="s">
        <v>82</v>
      </c>
      <c r="P291" t="str">
        <f>"4170062607                    "</f>
        <v xml:space="preserve">4170062607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22.36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70.959999999999994</v>
      </c>
      <c r="BM291">
        <v>10.64</v>
      </c>
      <c r="BN291">
        <v>81.599999999999994</v>
      </c>
      <c r="BO291">
        <v>81.599999999999994</v>
      </c>
      <c r="BQ291" t="s">
        <v>478</v>
      </c>
      <c r="BR291" t="s">
        <v>97</v>
      </c>
      <c r="BS291" s="3">
        <v>45933</v>
      </c>
      <c r="BT291" s="4">
        <v>0.37847222222222221</v>
      </c>
      <c r="BU291" t="s">
        <v>479</v>
      </c>
      <c r="BV291" t="s">
        <v>86</v>
      </c>
      <c r="BY291">
        <v>1200</v>
      </c>
      <c r="BZ291" t="s">
        <v>87</v>
      </c>
      <c r="CA291" t="s">
        <v>480</v>
      </c>
      <c r="CC291" t="s">
        <v>207</v>
      </c>
      <c r="CD291">
        <v>7480</v>
      </c>
      <c r="CE291" t="s">
        <v>120</v>
      </c>
      <c r="CF291" s="3">
        <v>45936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"080068273086"</f>
        <v>080068273086</v>
      </c>
      <c r="F292" s="3">
        <v>45932</v>
      </c>
      <c r="G292">
        <v>202607</v>
      </c>
      <c r="H292" t="s">
        <v>79</v>
      </c>
      <c r="I292" t="s">
        <v>80</v>
      </c>
      <c r="J292" t="s">
        <v>91</v>
      </c>
      <c r="K292" t="s">
        <v>78</v>
      </c>
      <c r="L292" t="s">
        <v>114</v>
      </c>
      <c r="M292" t="s">
        <v>115</v>
      </c>
      <c r="N292" t="s">
        <v>881</v>
      </c>
      <c r="O292" t="s">
        <v>82</v>
      </c>
      <c r="P292" t="str">
        <f>"4170062656                    "</f>
        <v xml:space="preserve">4170062656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22.36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1.7</v>
      </c>
      <c r="BK292">
        <v>2</v>
      </c>
      <c r="BL292">
        <v>70.959999999999994</v>
      </c>
      <c r="BM292">
        <v>10.64</v>
      </c>
      <c r="BN292">
        <v>81.599999999999994</v>
      </c>
      <c r="BO292">
        <v>81.599999999999994</v>
      </c>
      <c r="BQ292" t="s">
        <v>882</v>
      </c>
      <c r="BR292" t="s">
        <v>97</v>
      </c>
      <c r="BS292" s="3">
        <v>45934</v>
      </c>
      <c r="BT292" s="4">
        <v>0.42222222222222222</v>
      </c>
      <c r="BU292" t="s">
        <v>883</v>
      </c>
      <c r="BV292" t="s">
        <v>90</v>
      </c>
      <c r="BY292">
        <v>8512</v>
      </c>
      <c r="CA292" t="s">
        <v>749</v>
      </c>
      <c r="CC292" t="s">
        <v>115</v>
      </c>
      <c r="CD292">
        <v>5201</v>
      </c>
      <c r="CE292" t="s">
        <v>191</v>
      </c>
      <c r="CF292" s="3">
        <v>45937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"080068273115"</f>
        <v>080068273115</v>
      </c>
      <c r="F293" s="3">
        <v>45932</v>
      </c>
      <c r="G293">
        <v>202607</v>
      </c>
      <c r="H293" t="s">
        <v>79</v>
      </c>
      <c r="I293" t="s">
        <v>80</v>
      </c>
      <c r="J293" t="s">
        <v>91</v>
      </c>
      <c r="K293" t="s">
        <v>78</v>
      </c>
      <c r="L293" t="s">
        <v>79</v>
      </c>
      <c r="M293" t="s">
        <v>80</v>
      </c>
      <c r="N293" t="s">
        <v>277</v>
      </c>
      <c r="O293" t="s">
        <v>82</v>
      </c>
      <c r="P293" t="str">
        <f>"4170062664                    "</f>
        <v xml:space="preserve">4170062664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17.46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55.42</v>
      </c>
      <c r="BM293">
        <v>8.31</v>
      </c>
      <c r="BN293">
        <v>63.73</v>
      </c>
      <c r="BO293">
        <v>63.73</v>
      </c>
      <c r="BQ293" t="s">
        <v>278</v>
      </c>
      <c r="BR293" t="s">
        <v>97</v>
      </c>
      <c r="BS293" s="3">
        <v>45933</v>
      </c>
      <c r="BT293" s="4">
        <v>0.3840277777777778</v>
      </c>
      <c r="BU293" t="s">
        <v>378</v>
      </c>
      <c r="BV293" t="s">
        <v>86</v>
      </c>
      <c r="BY293">
        <v>1200</v>
      </c>
      <c r="CA293" t="s">
        <v>280</v>
      </c>
      <c r="CC293" t="s">
        <v>80</v>
      </c>
      <c r="CD293">
        <v>1614</v>
      </c>
      <c r="CE293" t="s">
        <v>147</v>
      </c>
      <c r="CF293" s="3">
        <v>45934</v>
      </c>
      <c r="CI293">
        <v>1</v>
      </c>
      <c r="CJ293">
        <v>1</v>
      </c>
      <c r="CK293">
        <v>22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"080068273166"</f>
        <v>080068273166</v>
      </c>
      <c r="F294" s="3">
        <v>45932</v>
      </c>
      <c r="G294">
        <v>202607</v>
      </c>
      <c r="H294" t="s">
        <v>79</v>
      </c>
      <c r="I294" t="s">
        <v>80</v>
      </c>
      <c r="J294" t="s">
        <v>91</v>
      </c>
      <c r="K294" t="s">
        <v>78</v>
      </c>
      <c r="L294" t="s">
        <v>884</v>
      </c>
      <c r="M294" t="s">
        <v>885</v>
      </c>
      <c r="N294" t="s">
        <v>886</v>
      </c>
      <c r="O294" t="s">
        <v>82</v>
      </c>
      <c r="P294" t="str">
        <f>"4170062653                    "</f>
        <v xml:space="preserve">4170062653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43.31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137.47</v>
      </c>
      <c r="BM294">
        <v>20.62</v>
      </c>
      <c r="BN294">
        <v>158.09</v>
      </c>
      <c r="BO294">
        <v>158.09</v>
      </c>
      <c r="BQ294" t="s">
        <v>887</v>
      </c>
      <c r="BR294" t="s">
        <v>97</v>
      </c>
      <c r="BS294" s="3">
        <v>45933</v>
      </c>
      <c r="BT294" s="4">
        <v>0.3611111111111111</v>
      </c>
      <c r="BU294" t="s">
        <v>888</v>
      </c>
      <c r="BV294" t="s">
        <v>86</v>
      </c>
      <c r="BY294">
        <v>1200</v>
      </c>
      <c r="CC294" t="s">
        <v>885</v>
      </c>
      <c r="CD294">
        <v>2740</v>
      </c>
      <c r="CE294" t="s">
        <v>147</v>
      </c>
      <c r="CF294" s="3">
        <v>45936</v>
      </c>
      <c r="CI294">
        <v>1</v>
      </c>
      <c r="CJ294">
        <v>1</v>
      </c>
      <c r="CK294">
        <v>23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"080068273141"</f>
        <v>080068273141</v>
      </c>
      <c r="F295" s="3">
        <v>45932</v>
      </c>
      <c r="G295">
        <v>202607</v>
      </c>
      <c r="H295" t="s">
        <v>79</v>
      </c>
      <c r="I295" t="s">
        <v>80</v>
      </c>
      <c r="J295" t="s">
        <v>91</v>
      </c>
      <c r="K295" t="s">
        <v>78</v>
      </c>
      <c r="L295" t="s">
        <v>271</v>
      </c>
      <c r="M295" t="s">
        <v>272</v>
      </c>
      <c r="N295" t="s">
        <v>273</v>
      </c>
      <c r="O295" t="s">
        <v>82</v>
      </c>
      <c r="P295" t="str">
        <f>"4170062711                    "</f>
        <v xml:space="preserve">4170062711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17.46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55.42</v>
      </c>
      <c r="BM295">
        <v>8.31</v>
      </c>
      <c r="BN295">
        <v>63.73</v>
      </c>
      <c r="BO295">
        <v>63.73</v>
      </c>
      <c r="BQ295" t="s">
        <v>274</v>
      </c>
      <c r="BR295" t="s">
        <v>97</v>
      </c>
      <c r="BS295" s="3">
        <v>45933</v>
      </c>
      <c r="BT295" s="4">
        <v>0.32291666666666669</v>
      </c>
      <c r="BU295" t="s">
        <v>889</v>
      </c>
      <c r="BV295" t="s">
        <v>86</v>
      </c>
      <c r="BY295">
        <v>1200</v>
      </c>
      <c r="BZ295" t="s">
        <v>87</v>
      </c>
      <c r="CA295" t="s">
        <v>661</v>
      </c>
      <c r="CC295" t="s">
        <v>272</v>
      </c>
      <c r="CD295">
        <v>1422</v>
      </c>
      <c r="CE295" t="s">
        <v>120</v>
      </c>
      <c r="CF295" s="3">
        <v>45933</v>
      </c>
      <c r="CI295">
        <v>1</v>
      </c>
      <c r="CJ295">
        <v>1</v>
      </c>
      <c r="CK295">
        <v>22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"080068273248"</f>
        <v>080068273248</v>
      </c>
      <c r="F296" s="3">
        <v>45932</v>
      </c>
      <c r="G296">
        <v>202607</v>
      </c>
      <c r="H296" t="s">
        <v>79</v>
      </c>
      <c r="I296" t="s">
        <v>80</v>
      </c>
      <c r="J296" t="s">
        <v>91</v>
      </c>
      <c r="K296" t="s">
        <v>78</v>
      </c>
      <c r="L296" t="s">
        <v>884</v>
      </c>
      <c r="M296" t="s">
        <v>885</v>
      </c>
      <c r="N296" t="s">
        <v>886</v>
      </c>
      <c r="O296" t="s">
        <v>95</v>
      </c>
      <c r="P296" t="str">
        <f>"4170062605                    "</f>
        <v xml:space="preserve">4170062605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76.540000000000006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2</v>
      </c>
      <c r="BI296">
        <v>20</v>
      </c>
      <c r="BJ296">
        <v>16.899999999999999</v>
      </c>
      <c r="BK296">
        <v>20</v>
      </c>
      <c r="BL296">
        <v>248.81</v>
      </c>
      <c r="BM296">
        <v>37.32</v>
      </c>
      <c r="BN296">
        <v>286.13</v>
      </c>
      <c r="BO296">
        <v>286.13</v>
      </c>
      <c r="BQ296" t="s">
        <v>887</v>
      </c>
      <c r="BR296" t="s">
        <v>97</v>
      </c>
      <c r="BS296" s="3">
        <v>45933</v>
      </c>
      <c r="BT296" s="4">
        <v>0.3611111111111111</v>
      </c>
      <c r="BU296" t="s">
        <v>888</v>
      </c>
      <c r="BV296" t="s">
        <v>86</v>
      </c>
      <c r="BY296">
        <v>42240</v>
      </c>
      <c r="CC296" t="s">
        <v>885</v>
      </c>
      <c r="CD296">
        <v>2740</v>
      </c>
      <c r="CE296" t="s">
        <v>890</v>
      </c>
      <c r="CF296" s="3">
        <v>45936</v>
      </c>
      <c r="CI296">
        <v>1</v>
      </c>
      <c r="CJ296">
        <v>1</v>
      </c>
      <c r="CK296">
        <v>43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"080068273428"</f>
        <v>080068273428</v>
      </c>
      <c r="F297" s="3">
        <v>45932</v>
      </c>
      <c r="G297">
        <v>202607</v>
      </c>
      <c r="H297" t="s">
        <v>79</v>
      </c>
      <c r="I297" t="s">
        <v>80</v>
      </c>
      <c r="J297" t="s">
        <v>91</v>
      </c>
      <c r="K297" t="s">
        <v>78</v>
      </c>
      <c r="L297" t="s">
        <v>206</v>
      </c>
      <c r="M297" t="s">
        <v>207</v>
      </c>
      <c r="N297" t="s">
        <v>891</v>
      </c>
      <c r="O297" t="s">
        <v>82</v>
      </c>
      <c r="P297" t="str">
        <f>"4170062645                    "</f>
        <v xml:space="preserve">4170062645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22.36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70.959999999999994</v>
      </c>
      <c r="BM297">
        <v>10.64</v>
      </c>
      <c r="BN297">
        <v>81.599999999999994</v>
      </c>
      <c r="BO297">
        <v>81.599999999999994</v>
      </c>
      <c r="BQ297" t="s">
        <v>892</v>
      </c>
      <c r="BR297" t="s">
        <v>97</v>
      </c>
      <c r="BS297" s="3">
        <v>45933</v>
      </c>
      <c r="BT297" s="4">
        <v>0.3840277777777778</v>
      </c>
      <c r="BU297" t="s">
        <v>893</v>
      </c>
      <c r="BV297" t="s">
        <v>86</v>
      </c>
      <c r="BY297">
        <v>1200</v>
      </c>
      <c r="BZ297" t="s">
        <v>87</v>
      </c>
      <c r="CA297" t="s">
        <v>894</v>
      </c>
      <c r="CC297" t="s">
        <v>207</v>
      </c>
      <c r="CD297">
        <v>7925</v>
      </c>
      <c r="CE297" t="s">
        <v>120</v>
      </c>
      <c r="CF297" s="3">
        <v>45936</v>
      </c>
      <c r="CI297">
        <v>1</v>
      </c>
      <c r="CJ297">
        <v>1</v>
      </c>
      <c r="CK297">
        <v>21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"080068273488"</f>
        <v>080068273488</v>
      </c>
      <c r="F298" s="3">
        <v>45932</v>
      </c>
      <c r="G298">
        <v>202607</v>
      </c>
      <c r="H298" t="s">
        <v>79</v>
      </c>
      <c r="I298" t="s">
        <v>80</v>
      </c>
      <c r="J298" t="s">
        <v>91</v>
      </c>
      <c r="K298" t="s">
        <v>78</v>
      </c>
      <c r="L298" t="s">
        <v>79</v>
      </c>
      <c r="M298" t="s">
        <v>80</v>
      </c>
      <c r="N298" t="s">
        <v>163</v>
      </c>
      <c r="O298" t="s">
        <v>95</v>
      </c>
      <c r="P298" t="str">
        <f>"4170062778                    "</f>
        <v xml:space="preserve">4170062778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143.56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44</v>
      </c>
      <c r="BJ298">
        <v>127.5</v>
      </c>
      <c r="BK298">
        <v>128</v>
      </c>
      <c r="BL298">
        <v>461.51</v>
      </c>
      <c r="BM298">
        <v>69.23</v>
      </c>
      <c r="BN298">
        <v>530.74</v>
      </c>
      <c r="BO298">
        <v>530.74</v>
      </c>
      <c r="BQ298" t="s">
        <v>164</v>
      </c>
      <c r="BR298" t="s">
        <v>97</v>
      </c>
      <c r="BS298" s="3">
        <v>45933</v>
      </c>
      <c r="BT298" s="4">
        <v>0.47222222222222221</v>
      </c>
      <c r="BU298" t="s">
        <v>895</v>
      </c>
      <c r="BV298" t="s">
        <v>86</v>
      </c>
      <c r="BY298">
        <v>637632</v>
      </c>
      <c r="BZ298" t="s">
        <v>99</v>
      </c>
      <c r="CA298" t="s">
        <v>896</v>
      </c>
      <c r="CC298" t="s">
        <v>80</v>
      </c>
      <c r="CD298">
        <v>1600</v>
      </c>
      <c r="CE298" t="s">
        <v>296</v>
      </c>
      <c r="CF298" s="3">
        <v>45934</v>
      </c>
      <c r="CI298">
        <v>1</v>
      </c>
      <c r="CJ298">
        <v>1</v>
      </c>
      <c r="CK298">
        <v>42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"080068273476"</f>
        <v>080068273476</v>
      </c>
      <c r="F299" s="3">
        <v>45932</v>
      </c>
      <c r="G299">
        <v>202607</v>
      </c>
      <c r="H299" t="s">
        <v>79</v>
      </c>
      <c r="I299" t="s">
        <v>80</v>
      </c>
      <c r="J299" t="s">
        <v>91</v>
      </c>
      <c r="K299" t="s">
        <v>78</v>
      </c>
      <c r="L299" t="s">
        <v>168</v>
      </c>
      <c r="M299" t="s">
        <v>169</v>
      </c>
      <c r="N299" t="s">
        <v>335</v>
      </c>
      <c r="O299" t="s">
        <v>82</v>
      </c>
      <c r="P299" t="str">
        <f>"4170062674                    "</f>
        <v xml:space="preserve">4170062674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22.36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70.959999999999994</v>
      </c>
      <c r="BM299">
        <v>10.64</v>
      </c>
      <c r="BN299">
        <v>81.599999999999994</v>
      </c>
      <c r="BO299">
        <v>81.599999999999994</v>
      </c>
      <c r="BQ299" t="s">
        <v>475</v>
      </c>
      <c r="BR299" t="s">
        <v>97</v>
      </c>
      <c r="BS299" s="3">
        <v>45933</v>
      </c>
      <c r="BT299" s="4">
        <v>0.54097222222222219</v>
      </c>
      <c r="BU299" t="s">
        <v>897</v>
      </c>
      <c r="BV299" t="s">
        <v>90</v>
      </c>
      <c r="BW299" t="s">
        <v>188</v>
      </c>
      <c r="BX299" t="s">
        <v>189</v>
      </c>
      <c r="BY299">
        <v>1200</v>
      </c>
      <c r="CC299" t="s">
        <v>169</v>
      </c>
      <c r="CD299" s="5" t="s">
        <v>190</v>
      </c>
      <c r="CE299" t="s">
        <v>147</v>
      </c>
      <c r="CF299" s="3">
        <v>45936</v>
      </c>
      <c r="CI299">
        <v>1</v>
      </c>
      <c r="CJ299">
        <v>1</v>
      </c>
      <c r="CK299">
        <v>21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"080068273507"</f>
        <v>080068273507</v>
      </c>
      <c r="F300" s="3">
        <v>45932</v>
      </c>
      <c r="G300">
        <v>202607</v>
      </c>
      <c r="H300" t="s">
        <v>79</v>
      </c>
      <c r="I300" t="s">
        <v>80</v>
      </c>
      <c r="J300" t="s">
        <v>91</v>
      </c>
      <c r="K300" t="s">
        <v>78</v>
      </c>
      <c r="L300" t="s">
        <v>788</v>
      </c>
      <c r="M300" t="s">
        <v>789</v>
      </c>
      <c r="N300" t="s">
        <v>790</v>
      </c>
      <c r="O300" t="s">
        <v>82</v>
      </c>
      <c r="P300" t="str">
        <f>"4170062654                    "</f>
        <v xml:space="preserve">4170062654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43.31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137.47</v>
      </c>
      <c r="BM300">
        <v>20.62</v>
      </c>
      <c r="BN300">
        <v>158.09</v>
      </c>
      <c r="BO300">
        <v>158.09</v>
      </c>
      <c r="BQ300" t="s">
        <v>791</v>
      </c>
      <c r="BR300" t="s">
        <v>97</v>
      </c>
      <c r="BS300" s="3">
        <v>45933</v>
      </c>
      <c r="BT300" s="4">
        <v>0.5625</v>
      </c>
      <c r="BU300" t="s">
        <v>792</v>
      </c>
      <c r="BV300" t="s">
        <v>90</v>
      </c>
      <c r="BY300">
        <v>1200</v>
      </c>
      <c r="BZ300" t="s">
        <v>87</v>
      </c>
      <c r="CA300" t="s">
        <v>793</v>
      </c>
      <c r="CC300" t="s">
        <v>789</v>
      </c>
      <c r="CD300">
        <v>3290</v>
      </c>
      <c r="CE300" t="s">
        <v>120</v>
      </c>
      <c r="CF300" s="3">
        <v>45934</v>
      </c>
      <c r="CI300">
        <v>1</v>
      </c>
      <c r="CJ300">
        <v>1</v>
      </c>
      <c r="CK300">
        <v>23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"080068273519"</f>
        <v>080068273519</v>
      </c>
      <c r="F301" s="3">
        <v>45932</v>
      </c>
      <c r="G301">
        <v>202607</v>
      </c>
      <c r="H301" t="s">
        <v>79</v>
      </c>
      <c r="I301" t="s">
        <v>80</v>
      </c>
      <c r="J301" t="s">
        <v>91</v>
      </c>
      <c r="K301" t="s">
        <v>78</v>
      </c>
      <c r="L301" t="s">
        <v>206</v>
      </c>
      <c r="M301" t="s">
        <v>207</v>
      </c>
      <c r="N301" t="s">
        <v>458</v>
      </c>
      <c r="O301" t="s">
        <v>82</v>
      </c>
      <c r="P301" t="str">
        <f>"4170062725                    "</f>
        <v xml:space="preserve">4170062725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67.03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6</v>
      </c>
      <c r="BJ301">
        <v>3.4</v>
      </c>
      <c r="BK301">
        <v>6</v>
      </c>
      <c r="BL301">
        <v>212.75</v>
      </c>
      <c r="BM301">
        <v>31.91</v>
      </c>
      <c r="BN301">
        <v>244.66</v>
      </c>
      <c r="BO301">
        <v>244.66</v>
      </c>
      <c r="BQ301" t="s">
        <v>459</v>
      </c>
      <c r="BR301" t="s">
        <v>97</v>
      </c>
      <c r="BS301" s="3">
        <v>45933</v>
      </c>
      <c r="BT301" s="4">
        <v>0.42708333333333331</v>
      </c>
      <c r="BU301" t="s">
        <v>460</v>
      </c>
      <c r="BV301" t="s">
        <v>86</v>
      </c>
      <c r="BY301">
        <v>16965</v>
      </c>
      <c r="CA301" t="s">
        <v>461</v>
      </c>
      <c r="CC301" t="s">
        <v>207</v>
      </c>
      <c r="CD301">
        <v>7530</v>
      </c>
      <c r="CE301" t="s">
        <v>191</v>
      </c>
      <c r="CF301" s="3">
        <v>45936</v>
      </c>
      <c r="CI301">
        <v>1</v>
      </c>
      <c r="CJ301">
        <v>1</v>
      </c>
      <c r="CK301">
        <v>21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"080068273532"</f>
        <v>080068273532</v>
      </c>
      <c r="F302" s="3">
        <v>45932</v>
      </c>
      <c r="G302">
        <v>202607</v>
      </c>
      <c r="H302" t="s">
        <v>79</v>
      </c>
      <c r="I302" t="s">
        <v>80</v>
      </c>
      <c r="J302" t="s">
        <v>91</v>
      </c>
      <c r="K302" t="s">
        <v>78</v>
      </c>
      <c r="L302" t="s">
        <v>218</v>
      </c>
      <c r="M302" t="s">
        <v>219</v>
      </c>
      <c r="N302" t="s">
        <v>898</v>
      </c>
      <c r="O302" t="s">
        <v>82</v>
      </c>
      <c r="P302" t="str">
        <f>"4170062641                    "</f>
        <v xml:space="preserve">4170062641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17.46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55.42</v>
      </c>
      <c r="BM302">
        <v>8.31</v>
      </c>
      <c r="BN302">
        <v>63.73</v>
      </c>
      <c r="BO302">
        <v>63.73</v>
      </c>
      <c r="BQ302" t="s">
        <v>899</v>
      </c>
      <c r="BR302" t="s">
        <v>97</v>
      </c>
      <c r="BS302" s="3">
        <v>45933</v>
      </c>
      <c r="BT302" s="4">
        <v>0.39444444444444443</v>
      </c>
      <c r="BU302" t="s">
        <v>900</v>
      </c>
      <c r="BV302" t="s">
        <v>86</v>
      </c>
      <c r="BY302">
        <v>1200</v>
      </c>
      <c r="CA302" t="s">
        <v>901</v>
      </c>
      <c r="CC302" t="s">
        <v>219</v>
      </c>
      <c r="CD302">
        <v>1559</v>
      </c>
      <c r="CE302" t="s">
        <v>147</v>
      </c>
      <c r="CF302" s="3">
        <v>45933</v>
      </c>
      <c r="CI302">
        <v>1</v>
      </c>
      <c r="CJ302">
        <v>1</v>
      </c>
      <c r="CK302">
        <v>22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"080068273546"</f>
        <v>080068273546</v>
      </c>
      <c r="F303" s="3">
        <v>45932</v>
      </c>
      <c r="G303">
        <v>202607</v>
      </c>
      <c r="H303" t="s">
        <v>79</v>
      </c>
      <c r="I303" t="s">
        <v>80</v>
      </c>
      <c r="J303" t="s">
        <v>91</v>
      </c>
      <c r="K303" t="s">
        <v>78</v>
      </c>
      <c r="L303" t="s">
        <v>121</v>
      </c>
      <c r="M303" t="s">
        <v>122</v>
      </c>
      <c r="N303" t="s">
        <v>123</v>
      </c>
      <c r="O303" t="s">
        <v>82</v>
      </c>
      <c r="P303" t="str">
        <f>"4170062671                    "</f>
        <v xml:space="preserve">4170062671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44.69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4</v>
      </c>
      <c r="BJ303">
        <v>1.7</v>
      </c>
      <c r="BK303">
        <v>4</v>
      </c>
      <c r="BL303">
        <v>141.85</v>
      </c>
      <c r="BM303">
        <v>21.28</v>
      </c>
      <c r="BN303">
        <v>163.13</v>
      </c>
      <c r="BO303">
        <v>163.13</v>
      </c>
      <c r="BQ303" t="s">
        <v>124</v>
      </c>
      <c r="BR303" t="s">
        <v>97</v>
      </c>
      <c r="BS303" s="3">
        <v>45933</v>
      </c>
      <c r="BT303" s="4">
        <v>0.33819444444444446</v>
      </c>
      <c r="BU303" t="s">
        <v>757</v>
      </c>
      <c r="BV303" t="s">
        <v>86</v>
      </c>
      <c r="BY303">
        <v>8512</v>
      </c>
      <c r="BZ303" t="s">
        <v>87</v>
      </c>
      <c r="CA303" t="s">
        <v>758</v>
      </c>
      <c r="CC303" t="s">
        <v>122</v>
      </c>
      <c r="CD303">
        <v>4051</v>
      </c>
      <c r="CE303" t="s">
        <v>101</v>
      </c>
      <c r="CF303" s="3">
        <v>45933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"080068273565"</f>
        <v>080068273565</v>
      </c>
      <c r="F304" s="3">
        <v>45932</v>
      </c>
      <c r="G304">
        <v>202607</v>
      </c>
      <c r="H304" t="s">
        <v>79</v>
      </c>
      <c r="I304" t="s">
        <v>80</v>
      </c>
      <c r="J304" t="s">
        <v>91</v>
      </c>
      <c r="K304" t="s">
        <v>78</v>
      </c>
      <c r="L304" t="s">
        <v>148</v>
      </c>
      <c r="M304" t="s">
        <v>149</v>
      </c>
      <c r="N304" t="s">
        <v>685</v>
      </c>
      <c r="O304" t="s">
        <v>82</v>
      </c>
      <c r="P304" t="str">
        <f>"4170062747                    "</f>
        <v xml:space="preserve">4170062747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17.46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55.42</v>
      </c>
      <c r="BM304">
        <v>8.31</v>
      </c>
      <c r="BN304">
        <v>63.73</v>
      </c>
      <c r="BO304">
        <v>63.73</v>
      </c>
      <c r="BQ304" t="s">
        <v>686</v>
      </c>
      <c r="BR304" t="s">
        <v>97</v>
      </c>
      <c r="BS304" s="3">
        <v>45933</v>
      </c>
      <c r="BT304" s="4">
        <v>0.51736111111111116</v>
      </c>
      <c r="BU304" t="s">
        <v>902</v>
      </c>
      <c r="BV304" t="s">
        <v>90</v>
      </c>
      <c r="BW304" t="s">
        <v>771</v>
      </c>
      <c r="BX304" t="s">
        <v>903</v>
      </c>
      <c r="BY304">
        <v>1200</v>
      </c>
      <c r="CA304" t="s">
        <v>904</v>
      </c>
      <c r="CC304" t="s">
        <v>149</v>
      </c>
      <c r="CD304">
        <v>2169</v>
      </c>
      <c r="CE304" t="s">
        <v>147</v>
      </c>
      <c r="CF304" s="3">
        <v>45934</v>
      </c>
      <c r="CI304">
        <v>1</v>
      </c>
      <c r="CJ304">
        <v>1</v>
      </c>
      <c r="CK304">
        <v>22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"080068273589"</f>
        <v>080068273589</v>
      </c>
      <c r="F305" s="3">
        <v>45932</v>
      </c>
      <c r="G305">
        <v>202607</v>
      </c>
      <c r="H305" t="s">
        <v>79</v>
      </c>
      <c r="I305" t="s">
        <v>80</v>
      </c>
      <c r="J305" t="s">
        <v>91</v>
      </c>
      <c r="K305" t="s">
        <v>78</v>
      </c>
      <c r="L305" t="s">
        <v>206</v>
      </c>
      <c r="M305" t="s">
        <v>207</v>
      </c>
      <c r="N305" t="s">
        <v>656</v>
      </c>
      <c r="O305" t="s">
        <v>82</v>
      </c>
      <c r="P305" t="str">
        <f>"4170062701                    "</f>
        <v xml:space="preserve">4170062701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22.36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70.959999999999994</v>
      </c>
      <c r="BM305">
        <v>10.64</v>
      </c>
      <c r="BN305">
        <v>81.599999999999994</v>
      </c>
      <c r="BO305">
        <v>81.599999999999994</v>
      </c>
      <c r="BQ305" t="s">
        <v>657</v>
      </c>
      <c r="BR305" t="s">
        <v>97</v>
      </c>
      <c r="BS305" s="3">
        <v>45933</v>
      </c>
      <c r="BT305" s="4">
        <v>0.4236111111111111</v>
      </c>
      <c r="BU305" t="s">
        <v>777</v>
      </c>
      <c r="BV305" t="s">
        <v>86</v>
      </c>
      <c r="BY305">
        <v>1200</v>
      </c>
      <c r="BZ305" t="s">
        <v>87</v>
      </c>
      <c r="CA305" t="s">
        <v>770</v>
      </c>
      <c r="CC305" t="s">
        <v>207</v>
      </c>
      <c r="CD305">
        <v>7441</v>
      </c>
      <c r="CE305" t="s">
        <v>120</v>
      </c>
      <c r="CF305" s="3">
        <v>45936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"080068273681"</f>
        <v>080068273681</v>
      </c>
      <c r="F306" s="3">
        <v>45932</v>
      </c>
      <c r="G306">
        <v>202607</v>
      </c>
      <c r="H306" t="s">
        <v>79</v>
      </c>
      <c r="I306" t="s">
        <v>80</v>
      </c>
      <c r="J306" t="s">
        <v>91</v>
      </c>
      <c r="K306" t="s">
        <v>78</v>
      </c>
      <c r="L306" t="s">
        <v>148</v>
      </c>
      <c r="M306" t="s">
        <v>149</v>
      </c>
      <c r="N306" t="s">
        <v>905</v>
      </c>
      <c r="O306" t="s">
        <v>82</v>
      </c>
      <c r="P306" t="str">
        <f>"4170062748                    "</f>
        <v xml:space="preserve">4170062748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17.46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55.42</v>
      </c>
      <c r="BM306">
        <v>8.31</v>
      </c>
      <c r="BN306">
        <v>63.73</v>
      </c>
      <c r="BO306">
        <v>63.73</v>
      </c>
      <c r="BQ306" t="s">
        <v>906</v>
      </c>
      <c r="BR306" t="s">
        <v>97</v>
      </c>
      <c r="BS306" s="3">
        <v>45933</v>
      </c>
      <c r="BT306" s="4">
        <v>0.40694444444444444</v>
      </c>
      <c r="BU306" t="s">
        <v>907</v>
      </c>
      <c r="BV306" t="s">
        <v>86</v>
      </c>
      <c r="BY306">
        <v>1200</v>
      </c>
      <c r="BZ306" t="s">
        <v>87</v>
      </c>
      <c r="CA306" t="s">
        <v>773</v>
      </c>
      <c r="CC306" t="s">
        <v>149</v>
      </c>
      <c r="CD306">
        <v>2094</v>
      </c>
      <c r="CE306" t="s">
        <v>120</v>
      </c>
      <c r="CF306" s="3">
        <v>45933</v>
      </c>
      <c r="CI306">
        <v>1</v>
      </c>
      <c r="CJ306">
        <v>1</v>
      </c>
      <c r="CK306">
        <v>22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"080068273750"</f>
        <v>080068273750</v>
      </c>
      <c r="F307" s="3">
        <v>45932</v>
      </c>
      <c r="G307">
        <v>202607</v>
      </c>
      <c r="H307" t="s">
        <v>79</v>
      </c>
      <c r="I307" t="s">
        <v>80</v>
      </c>
      <c r="J307" t="s">
        <v>91</v>
      </c>
      <c r="K307" t="s">
        <v>78</v>
      </c>
      <c r="L307" t="s">
        <v>233</v>
      </c>
      <c r="M307" t="s">
        <v>234</v>
      </c>
      <c r="N307" t="s">
        <v>908</v>
      </c>
      <c r="O307" t="s">
        <v>82</v>
      </c>
      <c r="P307" t="str">
        <f>"4170062741                    "</f>
        <v xml:space="preserve">4170062741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22.36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70.959999999999994</v>
      </c>
      <c r="BM307">
        <v>10.64</v>
      </c>
      <c r="BN307">
        <v>81.599999999999994</v>
      </c>
      <c r="BO307">
        <v>81.599999999999994</v>
      </c>
      <c r="BQ307" t="s">
        <v>909</v>
      </c>
      <c r="BR307" t="s">
        <v>97</v>
      </c>
      <c r="BS307" s="3">
        <v>45933</v>
      </c>
      <c r="BT307" s="4">
        <v>0.34027777777777779</v>
      </c>
      <c r="BU307" t="s">
        <v>910</v>
      </c>
      <c r="BV307" t="s">
        <v>86</v>
      </c>
      <c r="BY307">
        <v>1200</v>
      </c>
      <c r="CA307" t="s">
        <v>146</v>
      </c>
      <c r="CC307" t="s">
        <v>234</v>
      </c>
      <c r="CD307" s="5" t="s">
        <v>238</v>
      </c>
      <c r="CE307" t="s">
        <v>147</v>
      </c>
      <c r="CF307" s="3">
        <v>45933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"080068273763"</f>
        <v>080068273763</v>
      </c>
      <c r="F308" s="3">
        <v>45932</v>
      </c>
      <c r="G308">
        <v>202607</v>
      </c>
      <c r="H308" t="s">
        <v>79</v>
      </c>
      <c r="I308" t="s">
        <v>80</v>
      </c>
      <c r="J308" t="s">
        <v>91</v>
      </c>
      <c r="K308" t="s">
        <v>78</v>
      </c>
      <c r="L308" t="s">
        <v>168</v>
      </c>
      <c r="M308" t="s">
        <v>169</v>
      </c>
      <c r="N308" t="s">
        <v>911</v>
      </c>
      <c r="O308" t="s">
        <v>82</v>
      </c>
      <c r="P308" t="str">
        <f>"4170062647                    "</f>
        <v xml:space="preserve">4170062647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22.36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70.959999999999994</v>
      </c>
      <c r="BM308">
        <v>10.64</v>
      </c>
      <c r="BN308">
        <v>81.599999999999994</v>
      </c>
      <c r="BO308">
        <v>81.599999999999994</v>
      </c>
      <c r="BQ308" t="s">
        <v>912</v>
      </c>
      <c r="BR308" t="s">
        <v>97</v>
      </c>
      <c r="BS308" s="3">
        <v>45933</v>
      </c>
      <c r="BT308" s="4">
        <v>0.43402777777777779</v>
      </c>
      <c r="BU308" t="s">
        <v>913</v>
      </c>
      <c r="BV308" t="s">
        <v>86</v>
      </c>
      <c r="BY308">
        <v>1200</v>
      </c>
      <c r="BZ308" t="s">
        <v>87</v>
      </c>
      <c r="CC308" t="s">
        <v>169</v>
      </c>
      <c r="CD308" s="5" t="s">
        <v>914</v>
      </c>
      <c r="CE308" t="s">
        <v>120</v>
      </c>
      <c r="CF308" s="3">
        <v>45933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"080068273794"</f>
        <v>080068273794</v>
      </c>
      <c r="F309" s="3">
        <v>45932</v>
      </c>
      <c r="G309">
        <v>202607</v>
      </c>
      <c r="H309" t="s">
        <v>79</v>
      </c>
      <c r="I309" t="s">
        <v>80</v>
      </c>
      <c r="J309" t="s">
        <v>91</v>
      </c>
      <c r="K309" t="s">
        <v>78</v>
      </c>
      <c r="L309" t="s">
        <v>206</v>
      </c>
      <c r="M309" t="s">
        <v>207</v>
      </c>
      <c r="N309" t="s">
        <v>656</v>
      </c>
      <c r="O309" t="s">
        <v>82</v>
      </c>
      <c r="P309" t="str">
        <f>"4170062698                    "</f>
        <v xml:space="preserve">4170062698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22.36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70.959999999999994</v>
      </c>
      <c r="BM309">
        <v>10.64</v>
      </c>
      <c r="BN309">
        <v>81.599999999999994</v>
      </c>
      <c r="BO309">
        <v>81.599999999999994</v>
      </c>
      <c r="BQ309" t="s">
        <v>657</v>
      </c>
      <c r="BR309" t="s">
        <v>97</v>
      </c>
      <c r="BS309" s="3">
        <v>45933</v>
      </c>
      <c r="BT309" s="4">
        <v>0.4236111111111111</v>
      </c>
      <c r="BU309" t="s">
        <v>777</v>
      </c>
      <c r="BV309" t="s">
        <v>86</v>
      </c>
      <c r="BY309">
        <v>1200</v>
      </c>
      <c r="BZ309" t="s">
        <v>87</v>
      </c>
      <c r="CA309" t="s">
        <v>770</v>
      </c>
      <c r="CC309" t="s">
        <v>207</v>
      </c>
      <c r="CD309">
        <v>7441</v>
      </c>
      <c r="CE309" t="s">
        <v>120</v>
      </c>
      <c r="CF309" s="3">
        <v>45936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"080068273797"</f>
        <v>080068273797</v>
      </c>
      <c r="F310" s="3">
        <v>45932</v>
      </c>
      <c r="G310">
        <v>202607</v>
      </c>
      <c r="H310" t="s">
        <v>79</v>
      </c>
      <c r="I310" t="s">
        <v>80</v>
      </c>
      <c r="J310" t="s">
        <v>91</v>
      </c>
      <c r="K310" t="s">
        <v>78</v>
      </c>
      <c r="L310" t="s">
        <v>542</v>
      </c>
      <c r="M310" t="s">
        <v>543</v>
      </c>
      <c r="N310" t="s">
        <v>915</v>
      </c>
      <c r="O310" t="s">
        <v>82</v>
      </c>
      <c r="P310" t="str">
        <f>"4170062663                    "</f>
        <v xml:space="preserve">4170062663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17.46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55.42</v>
      </c>
      <c r="BM310">
        <v>8.31</v>
      </c>
      <c r="BN310">
        <v>63.73</v>
      </c>
      <c r="BO310">
        <v>63.73</v>
      </c>
      <c r="BQ310" t="s">
        <v>916</v>
      </c>
      <c r="BR310" t="s">
        <v>97</v>
      </c>
      <c r="BS310" s="3">
        <v>45933</v>
      </c>
      <c r="BT310" s="4">
        <v>0.42499999999999999</v>
      </c>
      <c r="BU310" t="s">
        <v>917</v>
      </c>
      <c r="BV310" t="s">
        <v>86</v>
      </c>
      <c r="BY310">
        <v>1200</v>
      </c>
      <c r="CA310" t="s">
        <v>918</v>
      </c>
      <c r="CC310" t="s">
        <v>543</v>
      </c>
      <c r="CD310">
        <v>1682</v>
      </c>
      <c r="CE310" t="s">
        <v>147</v>
      </c>
      <c r="CF310" s="3">
        <v>45934</v>
      </c>
      <c r="CI310">
        <v>1</v>
      </c>
      <c r="CJ310">
        <v>1</v>
      </c>
      <c r="CK310">
        <v>22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"080068273826"</f>
        <v>080068273826</v>
      </c>
      <c r="F311" s="3">
        <v>45932</v>
      </c>
      <c r="G311">
        <v>202607</v>
      </c>
      <c r="H311" t="s">
        <v>79</v>
      </c>
      <c r="I311" t="s">
        <v>80</v>
      </c>
      <c r="J311" t="s">
        <v>91</v>
      </c>
      <c r="K311" t="s">
        <v>78</v>
      </c>
      <c r="L311" t="s">
        <v>487</v>
      </c>
      <c r="M311" t="s">
        <v>488</v>
      </c>
      <c r="N311" t="s">
        <v>489</v>
      </c>
      <c r="O311" t="s">
        <v>82</v>
      </c>
      <c r="P311" t="str">
        <f>"4170062768                    "</f>
        <v xml:space="preserve">4170062768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101.99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5</v>
      </c>
      <c r="BJ311">
        <v>4</v>
      </c>
      <c r="BK311">
        <v>5</v>
      </c>
      <c r="BL311">
        <v>323.70999999999998</v>
      </c>
      <c r="BM311">
        <v>48.56</v>
      </c>
      <c r="BN311">
        <v>372.27</v>
      </c>
      <c r="BO311">
        <v>372.27</v>
      </c>
      <c r="BQ311" t="s">
        <v>490</v>
      </c>
      <c r="BR311" t="s">
        <v>97</v>
      </c>
      <c r="BS311" s="3">
        <v>45933</v>
      </c>
      <c r="BT311" s="4">
        <v>0.49513888888888891</v>
      </c>
      <c r="BU311" t="s">
        <v>604</v>
      </c>
      <c r="BV311" t="s">
        <v>86</v>
      </c>
      <c r="BY311">
        <v>20000</v>
      </c>
      <c r="CA311" t="s">
        <v>492</v>
      </c>
      <c r="CC311" t="s">
        <v>488</v>
      </c>
      <c r="CD311">
        <v>6715</v>
      </c>
      <c r="CE311" t="s">
        <v>107</v>
      </c>
      <c r="CF311" s="3">
        <v>45937</v>
      </c>
      <c r="CI311">
        <v>2</v>
      </c>
      <c r="CJ311">
        <v>1</v>
      </c>
      <c r="CK311">
        <v>23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"080068273862"</f>
        <v>080068273862</v>
      </c>
      <c r="F312" s="3">
        <v>45932</v>
      </c>
      <c r="G312">
        <v>202607</v>
      </c>
      <c r="H312" t="s">
        <v>79</v>
      </c>
      <c r="I312" t="s">
        <v>80</v>
      </c>
      <c r="J312" t="s">
        <v>91</v>
      </c>
      <c r="K312" t="s">
        <v>78</v>
      </c>
      <c r="L312" t="s">
        <v>206</v>
      </c>
      <c r="M312" t="s">
        <v>207</v>
      </c>
      <c r="N312" t="s">
        <v>458</v>
      </c>
      <c r="O312" t="s">
        <v>82</v>
      </c>
      <c r="P312" t="str">
        <f>"4170062734                    "</f>
        <v xml:space="preserve">4170062734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22.36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0.6</v>
      </c>
      <c r="BK312">
        <v>1</v>
      </c>
      <c r="BL312">
        <v>70.959999999999994</v>
      </c>
      <c r="BM312">
        <v>10.64</v>
      </c>
      <c r="BN312">
        <v>81.599999999999994</v>
      </c>
      <c r="BO312">
        <v>81.599999999999994</v>
      </c>
      <c r="BQ312" t="s">
        <v>459</v>
      </c>
      <c r="BR312" t="s">
        <v>97</v>
      </c>
      <c r="BS312" s="3">
        <v>45933</v>
      </c>
      <c r="BT312" s="4">
        <v>0.42708333333333331</v>
      </c>
      <c r="BU312" t="s">
        <v>460</v>
      </c>
      <c r="BV312" t="s">
        <v>86</v>
      </c>
      <c r="BY312">
        <v>3192</v>
      </c>
      <c r="CA312" t="s">
        <v>461</v>
      </c>
      <c r="CC312" t="s">
        <v>207</v>
      </c>
      <c r="CD312">
        <v>7535</v>
      </c>
      <c r="CE312" t="s">
        <v>191</v>
      </c>
      <c r="CF312" s="3">
        <v>45936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"080068273919"</f>
        <v>080068273919</v>
      </c>
      <c r="F313" s="3">
        <v>45932</v>
      </c>
      <c r="G313">
        <v>202607</v>
      </c>
      <c r="H313" t="s">
        <v>79</v>
      </c>
      <c r="I313" t="s">
        <v>80</v>
      </c>
      <c r="J313" t="s">
        <v>91</v>
      </c>
      <c r="K313" t="s">
        <v>78</v>
      </c>
      <c r="L313" t="s">
        <v>453</v>
      </c>
      <c r="M313" t="s">
        <v>454</v>
      </c>
      <c r="N313" t="s">
        <v>639</v>
      </c>
      <c r="O313" t="s">
        <v>95</v>
      </c>
      <c r="P313" t="str">
        <f>"4170062777                    "</f>
        <v xml:space="preserve">4170062777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57.51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2</v>
      </c>
      <c r="BI313">
        <v>18</v>
      </c>
      <c r="BJ313">
        <v>22.3</v>
      </c>
      <c r="BK313">
        <v>23</v>
      </c>
      <c r="BL313">
        <v>188.4</v>
      </c>
      <c r="BM313">
        <v>28.26</v>
      </c>
      <c r="BN313">
        <v>216.66</v>
      </c>
      <c r="BO313">
        <v>216.66</v>
      </c>
      <c r="BQ313" t="s">
        <v>640</v>
      </c>
      <c r="BR313" t="s">
        <v>97</v>
      </c>
      <c r="BS313" s="3">
        <v>45936</v>
      </c>
      <c r="BT313" s="4">
        <v>0.67083333333333328</v>
      </c>
      <c r="BU313" t="s">
        <v>919</v>
      </c>
      <c r="BV313" t="s">
        <v>90</v>
      </c>
      <c r="BW313" t="s">
        <v>136</v>
      </c>
      <c r="BX313" t="s">
        <v>858</v>
      </c>
      <c r="BY313">
        <v>111600</v>
      </c>
      <c r="CA313" t="s">
        <v>202</v>
      </c>
      <c r="CC313" t="s">
        <v>454</v>
      </c>
      <c r="CD313">
        <v>3610</v>
      </c>
      <c r="CE313" t="s">
        <v>191</v>
      </c>
      <c r="CF313" s="3">
        <v>45937</v>
      </c>
      <c r="CI313">
        <v>1</v>
      </c>
      <c r="CJ313">
        <v>2</v>
      </c>
      <c r="CK313">
        <v>41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"080068274487"</f>
        <v>080068274487</v>
      </c>
      <c r="F314" s="3">
        <v>45932</v>
      </c>
      <c r="G314">
        <v>202607</v>
      </c>
      <c r="H314" t="s">
        <v>79</v>
      </c>
      <c r="I314" t="s">
        <v>80</v>
      </c>
      <c r="J314" t="s">
        <v>91</v>
      </c>
      <c r="K314" t="s">
        <v>78</v>
      </c>
      <c r="L314" t="s">
        <v>79</v>
      </c>
      <c r="M314" t="s">
        <v>80</v>
      </c>
      <c r="N314" t="s">
        <v>920</v>
      </c>
      <c r="O314" t="s">
        <v>82</v>
      </c>
      <c r="P314" t="str">
        <f>"4170062636                    "</f>
        <v xml:space="preserve">4170062636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17.46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55.42</v>
      </c>
      <c r="BM314">
        <v>8.31</v>
      </c>
      <c r="BN314">
        <v>63.73</v>
      </c>
      <c r="BO314">
        <v>63.73</v>
      </c>
      <c r="BQ314" t="s">
        <v>921</v>
      </c>
      <c r="BR314" t="s">
        <v>97</v>
      </c>
      <c r="BS314" s="3">
        <v>45933</v>
      </c>
      <c r="BT314" s="4">
        <v>0.3611111111111111</v>
      </c>
      <c r="BU314" t="s">
        <v>922</v>
      </c>
      <c r="BV314" t="s">
        <v>86</v>
      </c>
      <c r="BY314">
        <v>1200</v>
      </c>
      <c r="CA314" t="s">
        <v>419</v>
      </c>
      <c r="CC314" t="s">
        <v>80</v>
      </c>
      <c r="CD314">
        <v>1665</v>
      </c>
      <c r="CE314" t="s">
        <v>147</v>
      </c>
      <c r="CF314" s="3">
        <v>45934</v>
      </c>
      <c r="CI314">
        <v>1</v>
      </c>
      <c r="CJ314">
        <v>1</v>
      </c>
      <c r="CK314">
        <v>22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"080068274517"</f>
        <v>080068274517</v>
      </c>
      <c r="F315" s="3">
        <v>45932</v>
      </c>
      <c r="G315">
        <v>202607</v>
      </c>
      <c r="H315" t="s">
        <v>79</v>
      </c>
      <c r="I315" t="s">
        <v>80</v>
      </c>
      <c r="J315" t="s">
        <v>91</v>
      </c>
      <c r="K315" t="s">
        <v>78</v>
      </c>
      <c r="L315" t="s">
        <v>168</v>
      </c>
      <c r="M315" t="s">
        <v>169</v>
      </c>
      <c r="N315" t="s">
        <v>923</v>
      </c>
      <c r="O315" t="s">
        <v>82</v>
      </c>
      <c r="P315" t="str">
        <f>"4170062775                    "</f>
        <v xml:space="preserve">4170062775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22.36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70.959999999999994</v>
      </c>
      <c r="BM315">
        <v>10.64</v>
      </c>
      <c r="BN315">
        <v>81.599999999999994</v>
      </c>
      <c r="BO315">
        <v>81.599999999999994</v>
      </c>
      <c r="BQ315" t="s">
        <v>924</v>
      </c>
      <c r="BR315" t="s">
        <v>97</v>
      </c>
      <c r="BS315" s="3">
        <v>45933</v>
      </c>
      <c r="BT315" s="4">
        <v>0.34027777777777779</v>
      </c>
      <c r="BU315" t="s">
        <v>925</v>
      </c>
      <c r="BV315" t="s">
        <v>86</v>
      </c>
      <c r="BY315">
        <v>1200</v>
      </c>
      <c r="BZ315" t="s">
        <v>87</v>
      </c>
      <c r="CC315" t="s">
        <v>169</v>
      </c>
      <c r="CD315" s="5" t="s">
        <v>926</v>
      </c>
      <c r="CE315" t="s">
        <v>120</v>
      </c>
      <c r="CF315" s="3">
        <v>45933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"080068274522"</f>
        <v>080068274522</v>
      </c>
      <c r="F316" s="3">
        <v>45932</v>
      </c>
      <c r="G316">
        <v>202607</v>
      </c>
      <c r="H316" t="s">
        <v>79</v>
      </c>
      <c r="I316" t="s">
        <v>80</v>
      </c>
      <c r="J316" t="s">
        <v>91</v>
      </c>
      <c r="K316" t="s">
        <v>78</v>
      </c>
      <c r="L316" t="s">
        <v>206</v>
      </c>
      <c r="M316" t="s">
        <v>207</v>
      </c>
      <c r="N316" t="s">
        <v>656</v>
      </c>
      <c r="O316" t="s">
        <v>82</v>
      </c>
      <c r="P316" t="str">
        <f>"4170062700                    "</f>
        <v xml:space="preserve">4170062700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44.69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3</v>
      </c>
      <c r="BJ316">
        <v>3.9</v>
      </c>
      <c r="BK316">
        <v>4</v>
      </c>
      <c r="BL316">
        <v>141.85</v>
      </c>
      <c r="BM316">
        <v>21.28</v>
      </c>
      <c r="BN316">
        <v>163.13</v>
      </c>
      <c r="BO316">
        <v>163.13</v>
      </c>
      <c r="BQ316" t="s">
        <v>657</v>
      </c>
      <c r="BR316" t="s">
        <v>97</v>
      </c>
      <c r="BS316" s="3">
        <v>45933</v>
      </c>
      <c r="BT316" s="4">
        <v>0.4236111111111111</v>
      </c>
      <c r="BU316" t="s">
        <v>777</v>
      </c>
      <c r="BV316" t="s">
        <v>86</v>
      </c>
      <c r="BY316">
        <v>19684</v>
      </c>
      <c r="BZ316" t="s">
        <v>87</v>
      </c>
      <c r="CA316" t="s">
        <v>770</v>
      </c>
      <c r="CC316" t="s">
        <v>207</v>
      </c>
      <c r="CD316">
        <v>7441</v>
      </c>
      <c r="CE316" t="s">
        <v>107</v>
      </c>
      <c r="CF316" s="3">
        <v>45936</v>
      </c>
      <c r="CI316">
        <v>1</v>
      </c>
      <c r="CJ316">
        <v>1</v>
      </c>
      <c r="CK316">
        <v>21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"080068274560"</f>
        <v>080068274560</v>
      </c>
      <c r="F317" s="3">
        <v>45932</v>
      </c>
      <c r="G317">
        <v>202607</v>
      </c>
      <c r="H317" t="s">
        <v>79</v>
      </c>
      <c r="I317" t="s">
        <v>80</v>
      </c>
      <c r="J317" t="s">
        <v>91</v>
      </c>
      <c r="K317" t="s">
        <v>78</v>
      </c>
      <c r="L317" t="s">
        <v>121</v>
      </c>
      <c r="M317" t="s">
        <v>122</v>
      </c>
      <c r="N317" t="s">
        <v>123</v>
      </c>
      <c r="O317" t="s">
        <v>82</v>
      </c>
      <c r="P317" t="str">
        <f>"4170062669                    "</f>
        <v xml:space="preserve">4170062669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22.36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0.9</v>
      </c>
      <c r="BK317">
        <v>1</v>
      </c>
      <c r="BL317">
        <v>70.959999999999994</v>
      </c>
      <c r="BM317">
        <v>10.64</v>
      </c>
      <c r="BN317">
        <v>81.599999999999994</v>
      </c>
      <c r="BO317">
        <v>81.599999999999994</v>
      </c>
      <c r="BQ317" t="s">
        <v>124</v>
      </c>
      <c r="BR317" t="s">
        <v>97</v>
      </c>
      <c r="BS317" s="3">
        <v>45933</v>
      </c>
      <c r="BT317" s="4">
        <v>0.34722222222222221</v>
      </c>
      <c r="BU317" t="s">
        <v>927</v>
      </c>
      <c r="BV317" t="s">
        <v>86</v>
      </c>
      <c r="BY317">
        <v>4560</v>
      </c>
      <c r="BZ317" t="s">
        <v>87</v>
      </c>
      <c r="CA317" t="s">
        <v>146</v>
      </c>
      <c r="CC317" t="s">
        <v>122</v>
      </c>
      <c r="CD317">
        <v>4051</v>
      </c>
      <c r="CE317" t="s">
        <v>101</v>
      </c>
      <c r="CF317" s="3">
        <v>45933</v>
      </c>
      <c r="CI317">
        <v>1</v>
      </c>
      <c r="CJ317">
        <v>1</v>
      </c>
      <c r="CK317">
        <v>21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"080068274617"</f>
        <v>080068274617</v>
      </c>
      <c r="F318" s="3">
        <v>45932</v>
      </c>
      <c r="G318">
        <v>202607</v>
      </c>
      <c r="H318" t="s">
        <v>79</v>
      </c>
      <c r="I318" t="s">
        <v>80</v>
      </c>
      <c r="J318" t="s">
        <v>91</v>
      </c>
      <c r="K318" t="s">
        <v>78</v>
      </c>
      <c r="L318" t="s">
        <v>206</v>
      </c>
      <c r="M318" t="s">
        <v>207</v>
      </c>
      <c r="N318" t="s">
        <v>458</v>
      </c>
      <c r="O318" t="s">
        <v>82</v>
      </c>
      <c r="P318" t="str">
        <f>"4170062731                    "</f>
        <v xml:space="preserve">4170062731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33.520000000000003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3</v>
      </c>
      <c r="BJ318">
        <v>0.6</v>
      </c>
      <c r="BK318">
        <v>3</v>
      </c>
      <c r="BL318">
        <v>106.4</v>
      </c>
      <c r="BM318">
        <v>15.96</v>
      </c>
      <c r="BN318">
        <v>122.36</v>
      </c>
      <c r="BO318">
        <v>122.36</v>
      </c>
      <c r="BQ318" t="s">
        <v>459</v>
      </c>
      <c r="BR318" t="s">
        <v>97</v>
      </c>
      <c r="BS318" s="3">
        <v>45933</v>
      </c>
      <c r="BT318" s="4">
        <v>0.42708333333333331</v>
      </c>
      <c r="BU318" t="s">
        <v>460</v>
      </c>
      <c r="BV318" t="s">
        <v>86</v>
      </c>
      <c r="BY318">
        <v>3192</v>
      </c>
      <c r="CA318" t="s">
        <v>461</v>
      </c>
      <c r="CC318" t="s">
        <v>207</v>
      </c>
      <c r="CD318">
        <v>7530</v>
      </c>
      <c r="CE318" t="s">
        <v>191</v>
      </c>
      <c r="CF318" s="3">
        <v>45936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"080068274649"</f>
        <v>080068274649</v>
      </c>
      <c r="F319" s="3">
        <v>45932</v>
      </c>
      <c r="G319">
        <v>202607</v>
      </c>
      <c r="H319" t="s">
        <v>79</v>
      </c>
      <c r="I319" t="s">
        <v>80</v>
      </c>
      <c r="J319" t="s">
        <v>91</v>
      </c>
      <c r="K319" t="s">
        <v>78</v>
      </c>
      <c r="L319" t="s">
        <v>206</v>
      </c>
      <c r="M319" t="s">
        <v>207</v>
      </c>
      <c r="N319" t="s">
        <v>458</v>
      </c>
      <c r="O319" t="s">
        <v>82</v>
      </c>
      <c r="P319" t="str">
        <f>"4170062728                    "</f>
        <v xml:space="preserve">4170062728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22.36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2</v>
      </c>
      <c r="BJ319">
        <v>1.1000000000000001</v>
      </c>
      <c r="BK319">
        <v>2</v>
      </c>
      <c r="BL319">
        <v>70.959999999999994</v>
      </c>
      <c r="BM319">
        <v>10.64</v>
      </c>
      <c r="BN319">
        <v>81.599999999999994</v>
      </c>
      <c r="BO319">
        <v>81.599999999999994</v>
      </c>
      <c r="BQ319" t="s">
        <v>459</v>
      </c>
      <c r="BR319" t="s">
        <v>97</v>
      </c>
      <c r="BS319" s="3">
        <v>45933</v>
      </c>
      <c r="BT319" s="4">
        <v>0.42708333333333331</v>
      </c>
      <c r="BU319" t="s">
        <v>460</v>
      </c>
      <c r="BV319" t="s">
        <v>86</v>
      </c>
      <c r="BY319">
        <v>5320</v>
      </c>
      <c r="CA319" t="s">
        <v>461</v>
      </c>
      <c r="CC319" t="s">
        <v>207</v>
      </c>
      <c r="CD319">
        <v>7530</v>
      </c>
      <c r="CE319" t="s">
        <v>191</v>
      </c>
      <c r="CF319" s="3">
        <v>45936</v>
      </c>
      <c r="CI319">
        <v>1</v>
      </c>
      <c r="CJ319">
        <v>1</v>
      </c>
      <c r="CK319">
        <v>21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"080068274879"</f>
        <v>080068274879</v>
      </c>
      <c r="F320" s="3">
        <v>45932</v>
      </c>
      <c r="G320">
        <v>202607</v>
      </c>
      <c r="H320" t="s">
        <v>79</v>
      </c>
      <c r="I320" t="s">
        <v>80</v>
      </c>
      <c r="J320" t="s">
        <v>91</v>
      </c>
      <c r="K320" t="s">
        <v>78</v>
      </c>
      <c r="L320" t="s">
        <v>322</v>
      </c>
      <c r="M320" t="s">
        <v>322</v>
      </c>
      <c r="N320" t="s">
        <v>481</v>
      </c>
      <c r="O320" t="s">
        <v>82</v>
      </c>
      <c r="P320" t="str">
        <f>"4170062642                    "</f>
        <v xml:space="preserve">4170062642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43.31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</v>
      </c>
      <c r="BJ320">
        <v>1.7</v>
      </c>
      <c r="BK320">
        <v>2</v>
      </c>
      <c r="BL320">
        <v>137.47</v>
      </c>
      <c r="BM320">
        <v>20.62</v>
      </c>
      <c r="BN320">
        <v>158.09</v>
      </c>
      <c r="BO320">
        <v>158.09</v>
      </c>
      <c r="BQ320" t="s">
        <v>482</v>
      </c>
      <c r="BR320" t="s">
        <v>97</v>
      </c>
      <c r="BS320" s="3">
        <v>45933</v>
      </c>
      <c r="BT320" s="4">
        <v>0.53472222222222221</v>
      </c>
      <c r="BU320" t="s">
        <v>378</v>
      </c>
      <c r="BV320" t="s">
        <v>86</v>
      </c>
      <c r="BY320">
        <v>8512</v>
      </c>
      <c r="CA320" t="s">
        <v>326</v>
      </c>
      <c r="CC320" t="s">
        <v>322</v>
      </c>
      <c r="CD320">
        <v>7646</v>
      </c>
      <c r="CE320" t="s">
        <v>191</v>
      </c>
      <c r="CF320" s="3">
        <v>45937</v>
      </c>
      <c r="CI320">
        <v>1</v>
      </c>
      <c r="CJ320">
        <v>1</v>
      </c>
      <c r="CK320">
        <v>23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"080068274893"</f>
        <v>080068274893</v>
      </c>
      <c r="F321" s="3">
        <v>45932</v>
      </c>
      <c r="G321">
        <v>202607</v>
      </c>
      <c r="H321" t="s">
        <v>79</v>
      </c>
      <c r="I321" t="s">
        <v>80</v>
      </c>
      <c r="J321" t="s">
        <v>91</v>
      </c>
      <c r="K321" t="s">
        <v>78</v>
      </c>
      <c r="L321" t="s">
        <v>92</v>
      </c>
      <c r="M321" t="s">
        <v>93</v>
      </c>
      <c r="N321" t="s">
        <v>597</v>
      </c>
      <c r="O321" t="s">
        <v>82</v>
      </c>
      <c r="P321" t="str">
        <f>"4170062606                    "</f>
        <v xml:space="preserve">4170062606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106.12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9.1</v>
      </c>
      <c r="BJ321">
        <v>4.9000000000000004</v>
      </c>
      <c r="BK321">
        <v>9.5</v>
      </c>
      <c r="BL321">
        <v>336.82</v>
      </c>
      <c r="BM321">
        <v>50.52</v>
      </c>
      <c r="BN321">
        <v>387.34</v>
      </c>
      <c r="BO321">
        <v>387.34</v>
      </c>
      <c r="BQ321" t="s">
        <v>598</v>
      </c>
      <c r="BR321" t="s">
        <v>97</v>
      </c>
      <c r="BS321" s="3">
        <v>45933</v>
      </c>
      <c r="BT321" s="4">
        <v>0.48888888888888887</v>
      </c>
      <c r="BU321" t="s">
        <v>599</v>
      </c>
      <c r="BV321" t="s">
        <v>86</v>
      </c>
      <c r="BY321">
        <v>24549</v>
      </c>
      <c r="CA321" t="s">
        <v>600</v>
      </c>
      <c r="CC321" t="s">
        <v>93</v>
      </c>
      <c r="CD321">
        <v>3201</v>
      </c>
      <c r="CE321" t="s">
        <v>191</v>
      </c>
      <c r="CF321" s="3">
        <v>45934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"080068274905"</f>
        <v>080068274905</v>
      </c>
      <c r="F322" s="3">
        <v>45932</v>
      </c>
      <c r="G322">
        <v>202607</v>
      </c>
      <c r="H322" t="s">
        <v>79</v>
      </c>
      <c r="I322" t="s">
        <v>80</v>
      </c>
      <c r="J322" t="s">
        <v>91</v>
      </c>
      <c r="K322" t="s">
        <v>78</v>
      </c>
      <c r="L322" t="s">
        <v>271</v>
      </c>
      <c r="M322" t="s">
        <v>272</v>
      </c>
      <c r="N322" t="s">
        <v>277</v>
      </c>
      <c r="O322" t="s">
        <v>226</v>
      </c>
      <c r="P322" t="str">
        <f>"4170062623                    "</f>
        <v xml:space="preserve">4170062623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17.47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4</v>
      </c>
      <c r="BJ322">
        <v>3.4</v>
      </c>
      <c r="BK322">
        <v>4</v>
      </c>
      <c r="BL322">
        <v>55.44</v>
      </c>
      <c r="BM322">
        <v>8.32</v>
      </c>
      <c r="BN322">
        <v>63.76</v>
      </c>
      <c r="BO322">
        <v>63.76</v>
      </c>
      <c r="BQ322" t="s">
        <v>278</v>
      </c>
      <c r="BR322" t="s">
        <v>97</v>
      </c>
      <c r="BS322" s="3">
        <v>45933</v>
      </c>
      <c r="BT322" s="4">
        <v>0.3840277777777778</v>
      </c>
      <c r="BU322" t="s">
        <v>378</v>
      </c>
      <c r="BV322" t="s">
        <v>86</v>
      </c>
      <c r="BY322">
        <v>16965</v>
      </c>
      <c r="CA322" t="s">
        <v>280</v>
      </c>
      <c r="CC322" t="s">
        <v>272</v>
      </c>
      <c r="CD322">
        <v>1401</v>
      </c>
      <c r="CE322" t="s">
        <v>191</v>
      </c>
      <c r="CF322" s="3">
        <v>45934</v>
      </c>
      <c r="CI322">
        <v>1</v>
      </c>
      <c r="CJ322">
        <v>1</v>
      </c>
      <c r="CK322">
        <v>32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"080068274981"</f>
        <v>080068274981</v>
      </c>
      <c r="F323" s="3">
        <v>45932</v>
      </c>
      <c r="G323">
        <v>202607</v>
      </c>
      <c r="H323" t="s">
        <v>79</v>
      </c>
      <c r="I323" t="s">
        <v>80</v>
      </c>
      <c r="J323" t="s">
        <v>91</v>
      </c>
      <c r="K323" t="s">
        <v>78</v>
      </c>
      <c r="L323" t="s">
        <v>239</v>
      </c>
      <c r="M323" t="s">
        <v>240</v>
      </c>
      <c r="N323" t="s">
        <v>928</v>
      </c>
      <c r="O323" t="s">
        <v>95</v>
      </c>
      <c r="P323" t="str">
        <f>"4170062795                    "</f>
        <v xml:space="preserve">4170062795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60.97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12</v>
      </c>
      <c r="BJ323">
        <v>5.4</v>
      </c>
      <c r="BK323">
        <v>12</v>
      </c>
      <c r="BL323">
        <v>199.39</v>
      </c>
      <c r="BM323">
        <v>29.91</v>
      </c>
      <c r="BN323">
        <v>229.3</v>
      </c>
      <c r="BO323">
        <v>229.3</v>
      </c>
      <c r="BQ323" t="s">
        <v>929</v>
      </c>
      <c r="BR323" t="s">
        <v>97</v>
      </c>
      <c r="BS323" s="3">
        <v>45933</v>
      </c>
      <c r="BT323" s="4">
        <v>0.54513888888888884</v>
      </c>
      <c r="BU323" t="s">
        <v>930</v>
      </c>
      <c r="BV323" t="s">
        <v>86</v>
      </c>
      <c r="BY323">
        <v>27144</v>
      </c>
      <c r="CA323" t="s">
        <v>529</v>
      </c>
      <c r="CC323" t="s">
        <v>240</v>
      </c>
      <c r="CD323" s="5" t="s">
        <v>245</v>
      </c>
      <c r="CE323" t="s">
        <v>931</v>
      </c>
      <c r="CF323" s="3">
        <v>45936</v>
      </c>
      <c r="CI323">
        <v>1</v>
      </c>
      <c r="CJ323">
        <v>1</v>
      </c>
      <c r="CK323">
        <v>43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"080068275125"</f>
        <v>080068275125</v>
      </c>
      <c r="F324" s="3">
        <v>45932</v>
      </c>
      <c r="G324">
        <v>202607</v>
      </c>
      <c r="H324" t="s">
        <v>79</v>
      </c>
      <c r="I324" t="s">
        <v>80</v>
      </c>
      <c r="J324" t="s">
        <v>91</v>
      </c>
      <c r="K324" t="s">
        <v>78</v>
      </c>
      <c r="L324" t="s">
        <v>788</v>
      </c>
      <c r="M324" t="s">
        <v>789</v>
      </c>
      <c r="N324" t="s">
        <v>932</v>
      </c>
      <c r="O324" t="s">
        <v>82</v>
      </c>
      <c r="P324" t="str">
        <f>"4170062707                    "</f>
        <v xml:space="preserve">4170062707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43.31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0.9</v>
      </c>
      <c r="BK324">
        <v>1</v>
      </c>
      <c r="BL324">
        <v>137.47</v>
      </c>
      <c r="BM324">
        <v>20.62</v>
      </c>
      <c r="BN324">
        <v>158.09</v>
      </c>
      <c r="BO324">
        <v>158.09</v>
      </c>
      <c r="BQ324" t="s">
        <v>933</v>
      </c>
      <c r="BR324" t="s">
        <v>97</v>
      </c>
      <c r="BS324" s="3">
        <v>45937</v>
      </c>
      <c r="BT324" s="4">
        <v>0.625</v>
      </c>
      <c r="BU324" t="s">
        <v>934</v>
      </c>
      <c r="BV324" t="s">
        <v>90</v>
      </c>
      <c r="BY324">
        <v>4275</v>
      </c>
      <c r="CA324" t="s">
        <v>793</v>
      </c>
      <c r="CC324" t="s">
        <v>789</v>
      </c>
      <c r="CD324">
        <v>3280</v>
      </c>
      <c r="CE324" t="s">
        <v>191</v>
      </c>
      <c r="CF324" s="3">
        <v>45938</v>
      </c>
      <c r="CI324">
        <v>1</v>
      </c>
      <c r="CJ324">
        <v>3</v>
      </c>
      <c r="CK324">
        <v>23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"080068275126"</f>
        <v>080068275126</v>
      </c>
      <c r="F325" s="3">
        <v>45932</v>
      </c>
      <c r="G325">
        <v>202607</v>
      </c>
      <c r="H325" t="s">
        <v>79</v>
      </c>
      <c r="I325" t="s">
        <v>80</v>
      </c>
      <c r="J325" t="s">
        <v>91</v>
      </c>
      <c r="K325" t="s">
        <v>78</v>
      </c>
      <c r="L325" t="s">
        <v>206</v>
      </c>
      <c r="M325" t="s">
        <v>207</v>
      </c>
      <c r="N325" t="s">
        <v>458</v>
      </c>
      <c r="O325" t="s">
        <v>82</v>
      </c>
      <c r="P325" t="str">
        <f>"4170062722                    "</f>
        <v xml:space="preserve">4170062722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22.36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70.959999999999994</v>
      </c>
      <c r="BM325">
        <v>10.64</v>
      </c>
      <c r="BN325">
        <v>81.599999999999994</v>
      </c>
      <c r="BO325">
        <v>81.599999999999994</v>
      </c>
      <c r="BQ325" t="s">
        <v>459</v>
      </c>
      <c r="BR325" t="s">
        <v>97</v>
      </c>
      <c r="BS325" s="3">
        <v>45933</v>
      </c>
      <c r="BT325" s="4">
        <v>0.42708333333333331</v>
      </c>
      <c r="BU325" t="s">
        <v>460</v>
      </c>
      <c r="BV325" t="s">
        <v>86</v>
      </c>
      <c r="BY325">
        <v>1200</v>
      </c>
      <c r="CA325" t="s">
        <v>461</v>
      </c>
      <c r="CC325" t="s">
        <v>207</v>
      </c>
      <c r="CD325">
        <v>7535</v>
      </c>
      <c r="CE325" t="s">
        <v>147</v>
      </c>
      <c r="CF325" s="3">
        <v>45936</v>
      </c>
      <c r="CI325">
        <v>1</v>
      </c>
      <c r="CJ325">
        <v>1</v>
      </c>
      <c r="CK325">
        <v>21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"080068275139"</f>
        <v>080068275139</v>
      </c>
      <c r="F326" s="3">
        <v>45932</v>
      </c>
      <c r="G326">
        <v>202607</v>
      </c>
      <c r="H326" t="s">
        <v>79</v>
      </c>
      <c r="I326" t="s">
        <v>80</v>
      </c>
      <c r="J326" t="s">
        <v>91</v>
      </c>
      <c r="K326" t="s">
        <v>78</v>
      </c>
      <c r="L326" t="s">
        <v>322</v>
      </c>
      <c r="M326" t="s">
        <v>322</v>
      </c>
      <c r="N326" t="s">
        <v>483</v>
      </c>
      <c r="O326" t="s">
        <v>82</v>
      </c>
      <c r="P326" t="str">
        <f>"4170062612                    "</f>
        <v xml:space="preserve">4170062612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43.31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2</v>
      </c>
      <c r="BJ326">
        <v>0.9</v>
      </c>
      <c r="BK326">
        <v>2</v>
      </c>
      <c r="BL326">
        <v>137.47</v>
      </c>
      <c r="BM326">
        <v>20.62</v>
      </c>
      <c r="BN326">
        <v>158.09</v>
      </c>
      <c r="BO326">
        <v>158.09</v>
      </c>
      <c r="BQ326" t="s">
        <v>486</v>
      </c>
      <c r="BR326" t="s">
        <v>97</v>
      </c>
      <c r="BS326" s="3">
        <v>45933</v>
      </c>
      <c r="BT326" s="4">
        <v>0.53541666666666665</v>
      </c>
      <c r="BU326" t="s">
        <v>485</v>
      </c>
      <c r="BV326" t="s">
        <v>86</v>
      </c>
      <c r="BY326">
        <v>4275</v>
      </c>
      <c r="CA326" t="s">
        <v>326</v>
      </c>
      <c r="CC326" t="s">
        <v>322</v>
      </c>
      <c r="CD326">
        <v>7646</v>
      </c>
      <c r="CE326" t="s">
        <v>191</v>
      </c>
      <c r="CF326" s="3">
        <v>45937</v>
      </c>
      <c r="CI326">
        <v>1</v>
      </c>
      <c r="CJ326">
        <v>1</v>
      </c>
      <c r="CK326">
        <v>23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"080068275140"</f>
        <v>080068275140</v>
      </c>
      <c r="F327" s="3">
        <v>45932</v>
      </c>
      <c r="G327">
        <v>202607</v>
      </c>
      <c r="H327" t="s">
        <v>79</v>
      </c>
      <c r="I327" t="s">
        <v>80</v>
      </c>
      <c r="J327" t="s">
        <v>91</v>
      </c>
      <c r="K327" t="s">
        <v>78</v>
      </c>
      <c r="L327" t="s">
        <v>206</v>
      </c>
      <c r="M327" t="s">
        <v>207</v>
      </c>
      <c r="N327" t="s">
        <v>935</v>
      </c>
      <c r="O327" t="s">
        <v>82</v>
      </c>
      <c r="P327" t="str">
        <f>"4170062655                    "</f>
        <v xml:space="preserve">4170062655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22.36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70.959999999999994</v>
      </c>
      <c r="BM327">
        <v>10.64</v>
      </c>
      <c r="BN327">
        <v>81.599999999999994</v>
      </c>
      <c r="BO327">
        <v>81.599999999999994</v>
      </c>
      <c r="BQ327" t="s">
        <v>936</v>
      </c>
      <c r="BR327" t="s">
        <v>97</v>
      </c>
      <c r="BS327" s="3">
        <v>45933</v>
      </c>
      <c r="BT327" s="4">
        <v>0.41458333333333336</v>
      </c>
      <c r="BU327" t="s">
        <v>937</v>
      </c>
      <c r="BV327" t="s">
        <v>86</v>
      </c>
      <c r="BY327">
        <v>1200</v>
      </c>
      <c r="BZ327" t="s">
        <v>87</v>
      </c>
      <c r="CA327" t="s">
        <v>394</v>
      </c>
      <c r="CC327" t="s">
        <v>207</v>
      </c>
      <c r="CD327">
        <v>7441</v>
      </c>
      <c r="CE327" t="s">
        <v>120</v>
      </c>
      <c r="CF327" s="3">
        <v>45936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"080068275156"</f>
        <v>080068275156</v>
      </c>
      <c r="F328" s="3">
        <v>45932</v>
      </c>
      <c r="G328">
        <v>202607</v>
      </c>
      <c r="H328" t="s">
        <v>79</v>
      </c>
      <c r="I328" t="s">
        <v>80</v>
      </c>
      <c r="J328" t="s">
        <v>91</v>
      </c>
      <c r="K328" t="s">
        <v>78</v>
      </c>
      <c r="L328" t="s">
        <v>108</v>
      </c>
      <c r="M328" t="s">
        <v>109</v>
      </c>
      <c r="N328" t="s">
        <v>938</v>
      </c>
      <c r="O328" t="s">
        <v>82</v>
      </c>
      <c r="P328" t="str">
        <f>"4170062693                    "</f>
        <v xml:space="preserve">4170062693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22.36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2</v>
      </c>
      <c r="BJ328">
        <v>1.9</v>
      </c>
      <c r="BK328">
        <v>2</v>
      </c>
      <c r="BL328">
        <v>70.959999999999994</v>
      </c>
      <c r="BM328">
        <v>10.64</v>
      </c>
      <c r="BN328">
        <v>81.599999999999994</v>
      </c>
      <c r="BO328">
        <v>81.599999999999994</v>
      </c>
      <c r="BQ328" t="s">
        <v>939</v>
      </c>
      <c r="BR328" t="s">
        <v>97</v>
      </c>
      <c r="BS328" s="3">
        <v>45933</v>
      </c>
      <c r="BT328" s="4">
        <v>0.42499999999999999</v>
      </c>
      <c r="BU328" t="s">
        <v>940</v>
      </c>
      <c r="BV328" t="s">
        <v>86</v>
      </c>
      <c r="BY328">
        <v>9600</v>
      </c>
      <c r="BZ328" t="s">
        <v>87</v>
      </c>
      <c r="CA328" t="s">
        <v>232</v>
      </c>
      <c r="CC328" t="s">
        <v>109</v>
      </c>
      <c r="CD328">
        <v>6056</v>
      </c>
      <c r="CE328" t="s">
        <v>101</v>
      </c>
      <c r="CF328" s="3">
        <v>45933</v>
      </c>
      <c r="CI328">
        <v>1</v>
      </c>
      <c r="CJ328">
        <v>1</v>
      </c>
      <c r="CK328">
        <v>21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"080068275171"</f>
        <v>080068275171</v>
      </c>
      <c r="F329" s="3">
        <v>45932</v>
      </c>
      <c r="G329">
        <v>202607</v>
      </c>
      <c r="H329" t="s">
        <v>79</v>
      </c>
      <c r="I329" t="s">
        <v>80</v>
      </c>
      <c r="J329" t="s">
        <v>91</v>
      </c>
      <c r="K329" t="s">
        <v>78</v>
      </c>
      <c r="L329" t="s">
        <v>206</v>
      </c>
      <c r="M329" t="s">
        <v>207</v>
      </c>
      <c r="N329" t="s">
        <v>458</v>
      </c>
      <c r="O329" t="s">
        <v>82</v>
      </c>
      <c r="P329" t="str">
        <f>"4170062724                    "</f>
        <v xml:space="preserve">4170062724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22.36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70.959999999999994</v>
      </c>
      <c r="BM329">
        <v>10.64</v>
      </c>
      <c r="BN329">
        <v>81.599999999999994</v>
      </c>
      <c r="BO329">
        <v>81.599999999999994</v>
      </c>
      <c r="BQ329" t="s">
        <v>459</v>
      </c>
      <c r="BR329" t="s">
        <v>97</v>
      </c>
      <c r="BS329" s="3">
        <v>45933</v>
      </c>
      <c r="BT329" s="4">
        <v>0.42708333333333331</v>
      </c>
      <c r="BU329" t="s">
        <v>460</v>
      </c>
      <c r="BV329" t="s">
        <v>86</v>
      </c>
      <c r="BY329">
        <v>1200</v>
      </c>
      <c r="CA329" t="s">
        <v>461</v>
      </c>
      <c r="CC329" t="s">
        <v>207</v>
      </c>
      <c r="CD329">
        <v>7530</v>
      </c>
      <c r="CE329" t="s">
        <v>147</v>
      </c>
      <c r="CF329" s="3">
        <v>45936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"080068275196"</f>
        <v>080068275196</v>
      </c>
      <c r="F330" s="3">
        <v>45932</v>
      </c>
      <c r="G330">
        <v>202607</v>
      </c>
      <c r="H330" t="s">
        <v>79</v>
      </c>
      <c r="I330" t="s">
        <v>80</v>
      </c>
      <c r="J330" t="s">
        <v>91</v>
      </c>
      <c r="K330" t="s">
        <v>78</v>
      </c>
      <c r="L330" t="s">
        <v>206</v>
      </c>
      <c r="M330" t="s">
        <v>207</v>
      </c>
      <c r="N330" t="s">
        <v>458</v>
      </c>
      <c r="O330" t="s">
        <v>82</v>
      </c>
      <c r="P330" t="str">
        <f>"4170062721                    "</f>
        <v xml:space="preserve">4170062721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22.36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70.959999999999994</v>
      </c>
      <c r="BM330">
        <v>10.64</v>
      </c>
      <c r="BN330">
        <v>81.599999999999994</v>
      </c>
      <c r="BO330">
        <v>81.599999999999994</v>
      </c>
      <c r="BQ330" t="s">
        <v>459</v>
      </c>
      <c r="BR330" t="s">
        <v>97</v>
      </c>
      <c r="BS330" s="3">
        <v>45933</v>
      </c>
      <c r="BT330" s="4">
        <v>0.42708333333333331</v>
      </c>
      <c r="BU330" t="s">
        <v>460</v>
      </c>
      <c r="BV330" t="s">
        <v>86</v>
      </c>
      <c r="BY330">
        <v>1200</v>
      </c>
      <c r="CA330" t="s">
        <v>461</v>
      </c>
      <c r="CC330" t="s">
        <v>207</v>
      </c>
      <c r="CD330">
        <v>7535</v>
      </c>
      <c r="CE330" t="s">
        <v>147</v>
      </c>
      <c r="CF330" s="3">
        <v>45936</v>
      </c>
      <c r="CI330">
        <v>1</v>
      </c>
      <c r="CJ330">
        <v>1</v>
      </c>
      <c r="CK330">
        <v>21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"080068275210"</f>
        <v>080068275210</v>
      </c>
      <c r="F331" s="3">
        <v>45932</v>
      </c>
      <c r="G331">
        <v>202607</v>
      </c>
      <c r="H331" t="s">
        <v>79</v>
      </c>
      <c r="I331" t="s">
        <v>80</v>
      </c>
      <c r="J331" t="s">
        <v>91</v>
      </c>
      <c r="K331" t="s">
        <v>78</v>
      </c>
      <c r="L331" t="s">
        <v>108</v>
      </c>
      <c r="M331" t="s">
        <v>109</v>
      </c>
      <c r="N331" t="s">
        <v>938</v>
      </c>
      <c r="O331" t="s">
        <v>82</v>
      </c>
      <c r="P331" t="str">
        <f>"4170062692                    "</f>
        <v xml:space="preserve">4170062692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22.36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70.959999999999994</v>
      </c>
      <c r="BM331">
        <v>10.64</v>
      </c>
      <c r="BN331">
        <v>81.599999999999994</v>
      </c>
      <c r="BO331">
        <v>81.599999999999994</v>
      </c>
      <c r="BQ331" t="s">
        <v>939</v>
      </c>
      <c r="BR331" t="s">
        <v>97</v>
      </c>
      <c r="BS331" s="3">
        <v>45933</v>
      </c>
      <c r="BT331" s="4">
        <v>0.42499999999999999</v>
      </c>
      <c r="BU331" t="s">
        <v>940</v>
      </c>
      <c r="BV331" t="s">
        <v>86</v>
      </c>
      <c r="BY331">
        <v>1200</v>
      </c>
      <c r="BZ331" t="s">
        <v>87</v>
      </c>
      <c r="CA331" t="s">
        <v>232</v>
      </c>
      <c r="CC331" t="s">
        <v>109</v>
      </c>
      <c r="CD331">
        <v>6056</v>
      </c>
      <c r="CE331" t="s">
        <v>120</v>
      </c>
      <c r="CF331" s="3">
        <v>45933</v>
      </c>
      <c r="CI331">
        <v>1</v>
      </c>
      <c r="CJ331">
        <v>1</v>
      </c>
      <c r="CK331">
        <v>21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"080068275228"</f>
        <v>080068275228</v>
      </c>
      <c r="F332" s="3">
        <v>45932</v>
      </c>
      <c r="G332">
        <v>202607</v>
      </c>
      <c r="H332" t="s">
        <v>79</v>
      </c>
      <c r="I332" t="s">
        <v>80</v>
      </c>
      <c r="J332" t="s">
        <v>91</v>
      </c>
      <c r="K332" t="s">
        <v>78</v>
      </c>
      <c r="L332" t="s">
        <v>168</v>
      </c>
      <c r="M332" t="s">
        <v>169</v>
      </c>
      <c r="N332" t="s">
        <v>873</v>
      </c>
      <c r="O332" t="s">
        <v>82</v>
      </c>
      <c r="P332" t="str">
        <f>"4170062658                    "</f>
        <v xml:space="preserve">4170062658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22.36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70.959999999999994</v>
      </c>
      <c r="BM332">
        <v>10.64</v>
      </c>
      <c r="BN332">
        <v>81.599999999999994</v>
      </c>
      <c r="BO332">
        <v>81.599999999999994</v>
      </c>
      <c r="BQ332" t="s">
        <v>874</v>
      </c>
      <c r="BR332" t="s">
        <v>97</v>
      </c>
      <c r="BS332" s="3">
        <v>45936</v>
      </c>
      <c r="BT332" s="4">
        <v>0.65277777777777779</v>
      </c>
      <c r="BU332" t="s">
        <v>941</v>
      </c>
      <c r="BV332" t="s">
        <v>90</v>
      </c>
      <c r="BW332" t="s">
        <v>188</v>
      </c>
      <c r="BX332" t="s">
        <v>189</v>
      </c>
      <c r="BY332">
        <v>1200</v>
      </c>
      <c r="CA332" t="s">
        <v>942</v>
      </c>
      <c r="CC332" t="s">
        <v>169</v>
      </c>
      <c r="CD332" s="5" t="s">
        <v>877</v>
      </c>
      <c r="CE332" t="s">
        <v>147</v>
      </c>
      <c r="CF332" s="3">
        <v>45936</v>
      </c>
      <c r="CI332">
        <v>1</v>
      </c>
      <c r="CJ332">
        <v>2</v>
      </c>
      <c r="CK332">
        <v>21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"080068275666"</f>
        <v>080068275666</v>
      </c>
      <c r="F333" s="3">
        <v>45932</v>
      </c>
      <c r="G333">
        <v>202607</v>
      </c>
      <c r="H333" t="s">
        <v>79</v>
      </c>
      <c r="I333" t="s">
        <v>80</v>
      </c>
      <c r="J333" t="s">
        <v>91</v>
      </c>
      <c r="K333" t="s">
        <v>78</v>
      </c>
      <c r="L333" t="s">
        <v>446</v>
      </c>
      <c r="M333" t="s">
        <v>447</v>
      </c>
      <c r="N333" t="s">
        <v>448</v>
      </c>
      <c r="O333" t="s">
        <v>82</v>
      </c>
      <c r="P333" t="str">
        <f>"4170062761                    "</f>
        <v xml:space="preserve">4170062761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43.31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137.47</v>
      </c>
      <c r="BM333">
        <v>20.62</v>
      </c>
      <c r="BN333">
        <v>158.09</v>
      </c>
      <c r="BO333">
        <v>158.09</v>
      </c>
      <c r="BQ333" t="s">
        <v>449</v>
      </c>
      <c r="BR333" t="s">
        <v>97</v>
      </c>
      <c r="BS333" s="3">
        <v>45933</v>
      </c>
      <c r="BT333" s="4">
        <v>0.44513888888888886</v>
      </c>
      <c r="BU333" t="s">
        <v>782</v>
      </c>
      <c r="BV333" t="s">
        <v>86</v>
      </c>
      <c r="BY333">
        <v>1200</v>
      </c>
      <c r="BZ333" t="s">
        <v>87</v>
      </c>
      <c r="CA333" t="s">
        <v>783</v>
      </c>
      <c r="CC333" t="s">
        <v>447</v>
      </c>
      <c r="CD333">
        <v>7130</v>
      </c>
      <c r="CE333" t="s">
        <v>120</v>
      </c>
      <c r="CF333" s="3">
        <v>45936</v>
      </c>
      <c r="CI333">
        <v>1</v>
      </c>
      <c r="CJ333">
        <v>1</v>
      </c>
      <c r="CK333">
        <v>23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"080068275676"</f>
        <v>080068275676</v>
      </c>
      <c r="F334" s="3">
        <v>45932</v>
      </c>
      <c r="G334">
        <v>202607</v>
      </c>
      <c r="H334" t="s">
        <v>79</v>
      </c>
      <c r="I334" t="s">
        <v>80</v>
      </c>
      <c r="J334" t="s">
        <v>91</v>
      </c>
      <c r="K334" t="s">
        <v>78</v>
      </c>
      <c r="L334" t="s">
        <v>114</v>
      </c>
      <c r="M334" t="s">
        <v>115</v>
      </c>
      <c r="N334" t="s">
        <v>746</v>
      </c>
      <c r="O334" t="s">
        <v>95</v>
      </c>
      <c r="P334" t="str">
        <f>"4170062683                    "</f>
        <v xml:space="preserve">4170062683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43.23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5</v>
      </c>
      <c r="BJ334">
        <v>2.8</v>
      </c>
      <c r="BK334">
        <v>5</v>
      </c>
      <c r="BL334">
        <v>143.08000000000001</v>
      </c>
      <c r="BM334">
        <v>21.46</v>
      </c>
      <c r="BN334">
        <v>164.54</v>
      </c>
      <c r="BO334">
        <v>164.54</v>
      </c>
      <c r="BQ334" t="s">
        <v>747</v>
      </c>
      <c r="BR334" t="s">
        <v>97</v>
      </c>
      <c r="BS334" s="3">
        <v>45936</v>
      </c>
      <c r="BT334" s="4">
        <v>0.48680555555555555</v>
      </c>
      <c r="BU334" t="s">
        <v>748</v>
      </c>
      <c r="BV334" t="s">
        <v>86</v>
      </c>
      <c r="BY334">
        <v>13832</v>
      </c>
      <c r="CA334" t="s">
        <v>749</v>
      </c>
      <c r="CC334" t="s">
        <v>115</v>
      </c>
      <c r="CD334">
        <v>5201</v>
      </c>
      <c r="CE334" t="s">
        <v>931</v>
      </c>
      <c r="CF334" s="3">
        <v>45937</v>
      </c>
      <c r="CI334">
        <v>3</v>
      </c>
      <c r="CJ334">
        <v>2</v>
      </c>
      <c r="CK334">
        <v>41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"080068275682"</f>
        <v>080068275682</v>
      </c>
      <c r="F335" s="3">
        <v>45932</v>
      </c>
      <c r="G335">
        <v>202607</v>
      </c>
      <c r="H335" t="s">
        <v>79</v>
      </c>
      <c r="I335" t="s">
        <v>80</v>
      </c>
      <c r="J335" t="s">
        <v>91</v>
      </c>
      <c r="K335" t="s">
        <v>78</v>
      </c>
      <c r="L335" t="s">
        <v>168</v>
      </c>
      <c r="M335" t="s">
        <v>169</v>
      </c>
      <c r="N335" t="s">
        <v>335</v>
      </c>
      <c r="O335" t="s">
        <v>82</v>
      </c>
      <c r="P335" t="str">
        <f>"4170062732                    "</f>
        <v xml:space="preserve">4170062732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22.36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70.959999999999994</v>
      </c>
      <c r="BM335">
        <v>10.64</v>
      </c>
      <c r="BN335">
        <v>81.599999999999994</v>
      </c>
      <c r="BO335">
        <v>81.599999999999994</v>
      </c>
      <c r="BQ335" t="s">
        <v>475</v>
      </c>
      <c r="BR335" t="s">
        <v>97</v>
      </c>
      <c r="BS335" s="3">
        <v>45933</v>
      </c>
      <c r="BT335" s="4">
        <v>0.54236111111111107</v>
      </c>
      <c r="BU335" t="s">
        <v>897</v>
      </c>
      <c r="BV335" t="s">
        <v>90</v>
      </c>
      <c r="BY335">
        <v>1200</v>
      </c>
      <c r="CC335" t="s">
        <v>169</v>
      </c>
      <c r="CD335" s="5" t="s">
        <v>190</v>
      </c>
      <c r="CE335" t="s">
        <v>147</v>
      </c>
      <c r="CF335" s="3">
        <v>45936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"080068275697"</f>
        <v>080068275697</v>
      </c>
      <c r="F336" s="3">
        <v>45932</v>
      </c>
      <c r="G336">
        <v>202607</v>
      </c>
      <c r="H336" t="s">
        <v>79</v>
      </c>
      <c r="I336" t="s">
        <v>80</v>
      </c>
      <c r="J336" t="s">
        <v>91</v>
      </c>
      <c r="K336" t="s">
        <v>78</v>
      </c>
      <c r="L336" t="s">
        <v>206</v>
      </c>
      <c r="M336" t="s">
        <v>207</v>
      </c>
      <c r="N336" t="s">
        <v>943</v>
      </c>
      <c r="O336" t="s">
        <v>82</v>
      </c>
      <c r="P336" t="str">
        <f>"4170062787                    "</f>
        <v xml:space="preserve">4170062787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22.36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0.6</v>
      </c>
      <c r="BK336">
        <v>1</v>
      </c>
      <c r="BL336">
        <v>70.959999999999994</v>
      </c>
      <c r="BM336">
        <v>10.64</v>
      </c>
      <c r="BN336">
        <v>81.599999999999994</v>
      </c>
      <c r="BO336">
        <v>81.599999999999994</v>
      </c>
      <c r="BQ336" t="s">
        <v>944</v>
      </c>
      <c r="BR336" t="s">
        <v>97</v>
      </c>
      <c r="BS336" s="3">
        <v>45933</v>
      </c>
      <c r="BT336" s="4">
        <v>0.41736111111111113</v>
      </c>
      <c r="BU336" t="s">
        <v>945</v>
      </c>
      <c r="BV336" t="s">
        <v>86</v>
      </c>
      <c r="BY336">
        <v>3192</v>
      </c>
      <c r="CA336" t="s">
        <v>461</v>
      </c>
      <c r="CC336" t="s">
        <v>207</v>
      </c>
      <c r="CD336">
        <v>7535</v>
      </c>
      <c r="CE336" t="s">
        <v>191</v>
      </c>
      <c r="CF336" s="3">
        <v>45936</v>
      </c>
      <c r="CI336">
        <v>1</v>
      </c>
      <c r="CJ336">
        <v>1</v>
      </c>
      <c r="CK336">
        <v>21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"080068275712"</f>
        <v>080068275712</v>
      </c>
      <c r="F337" s="3">
        <v>45932</v>
      </c>
      <c r="G337">
        <v>202607</v>
      </c>
      <c r="H337" t="s">
        <v>79</v>
      </c>
      <c r="I337" t="s">
        <v>80</v>
      </c>
      <c r="J337" t="s">
        <v>91</v>
      </c>
      <c r="K337" t="s">
        <v>78</v>
      </c>
      <c r="L337" t="s">
        <v>206</v>
      </c>
      <c r="M337" t="s">
        <v>207</v>
      </c>
      <c r="N337" t="s">
        <v>656</v>
      </c>
      <c r="O337" t="s">
        <v>82</v>
      </c>
      <c r="P337" t="str">
        <f>"4170062706                    "</f>
        <v xml:space="preserve">4170062706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22.36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70.959999999999994</v>
      </c>
      <c r="BM337">
        <v>10.64</v>
      </c>
      <c r="BN337">
        <v>81.599999999999994</v>
      </c>
      <c r="BO337">
        <v>81.599999999999994</v>
      </c>
      <c r="BQ337" t="s">
        <v>657</v>
      </c>
      <c r="BR337" t="s">
        <v>97</v>
      </c>
      <c r="BS337" s="3">
        <v>45933</v>
      </c>
      <c r="BT337" s="4">
        <v>0.4236111111111111</v>
      </c>
      <c r="BU337" t="s">
        <v>777</v>
      </c>
      <c r="BV337" t="s">
        <v>86</v>
      </c>
      <c r="BY337">
        <v>1200</v>
      </c>
      <c r="BZ337" t="s">
        <v>87</v>
      </c>
      <c r="CA337" t="s">
        <v>770</v>
      </c>
      <c r="CC337" t="s">
        <v>207</v>
      </c>
      <c r="CD337">
        <v>7441</v>
      </c>
      <c r="CE337" t="s">
        <v>120</v>
      </c>
      <c r="CF337" s="3">
        <v>45936</v>
      </c>
      <c r="CI337">
        <v>1</v>
      </c>
      <c r="CJ337">
        <v>1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"080068275734"</f>
        <v>080068275734</v>
      </c>
      <c r="F338" s="3">
        <v>45932</v>
      </c>
      <c r="G338">
        <v>202607</v>
      </c>
      <c r="H338" t="s">
        <v>79</v>
      </c>
      <c r="I338" t="s">
        <v>80</v>
      </c>
      <c r="J338" t="s">
        <v>91</v>
      </c>
      <c r="K338" t="s">
        <v>78</v>
      </c>
      <c r="L338" t="s">
        <v>206</v>
      </c>
      <c r="M338" t="s">
        <v>207</v>
      </c>
      <c r="N338" t="s">
        <v>458</v>
      </c>
      <c r="O338" t="s">
        <v>82</v>
      </c>
      <c r="P338" t="str">
        <f>"4170062723                    "</f>
        <v xml:space="preserve">4170062723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22.36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</v>
      </c>
      <c r="BJ338">
        <v>0.6</v>
      </c>
      <c r="BK338">
        <v>2</v>
      </c>
      <c r="BL338">
        <v>70.959999999999994</v>
      </c>
      <c r="BM338">
        <v>10.64</v>
      </c>
      <c r="BN338">
        <v>81.599999999999994</v>
      </c>
      <c r="BO338">
        <v>81.599999999999994</v>
      </c>
      <c r="BQ338" t="s">
        <v>459</v>
      </c>
      <c r="BR338" t="s">
        <v>97</v>
      </c>
      <c r="BS338" s="3">
        <v>45933</v>
      </c>
      <c r="BT338" s="4">
        <v>0.42708333333333331</v>
      </c>
      <c r="BU338" t="s">
        <v>460</v>
      </c>
      <c r="BV338" t="s">
        <v>86</v>
      </c>
      <c r="BY338">
        <v>3192</v>
      </c>
      <c r="CA338" t="s">
        <v>461</v>
      </c>
      <c r="CC338" t="s">
        <v>207</v>
      </c>
      <c r="CD338">
        <v>7530</v>
      </c>
      <c r="CE338" t="s">
        <v>191</v>
      </c>
      <c r="CF338" s="3">
        <v>45936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"080068275755"</f>
        <v>080068275755</v>
      </c>
      <c r="F339" s="3">
        <v>45932</v>
      </c>
      <c r="G339">
        <v>202607</v>
      </c>
      <c r="H339" t="s">
        <v>79</v>
      </c>
      <c r="I339" t="s">
        <v>80</v>
      </c>
      <c r="J339" t="s">
        <v>91</v>
      </c>
      <c r="K339" t="s">
        <v>78</v>
      </c>
      <c r="L339" t="s">
        <v>206</v>
      </c>
      <c r="M339" t="s">
        <v>207</v>
      </c>
      <c r="N339" t="s">
        <v>458</v>
      </c>
      <c r="O339" t="s">
        <v>82</v>
      </c>
      <c r="P339" t="str">
        <f>"4170062726                    "</f>
        <v xml:space="preserve">4170062726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22.36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</v>
      </c>
      <c r="BJ339">
        <v>1.1000000000000001</v>
      </c>
      <c r="BK339">
        <v>2</v>
      </c>
      <c r="BL339">
        <v>70.959999999999994</v>
      </c>
      <c r="BM339">
        <v>10.64</v>
      </c>
      <c r="BN339">
        <v>81.599999999999994</v>
      </c>
      <c r="BO339">
        <v>81.599999999999994</v>
      </c>
      <c r="BQ339" t="s">
        <v>459</v>
      </c>
      <c r="BR339" t="s">
        <v>97</v>
      </c>
      <c r="BS339" s="3">
        <v>45933</v>
      </c>
      <c r="BT339" s="4">
        <v>0.42569444444444443</v>
      </c>
      <c r="BU339" t="s">
        <v>460</v>
      </c>
      <c r="BV339" t="s">
        <v>86</v>
      </c>
      <c r="BY339">
        <v>5510</v>
      </c>
      <c r="CA339" t="s">
        <v>461</v>
      </c>
      <c r="CC339" t="s">
        <v>207</v>
      </c>
      <c r="CD339">
        <v>7530</v>
      </c>
      <c r="CE339" t="s">
        <v>191</v>
      </c>
      <c r="CF339" s="3">
        <v>45936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"080068275760"</f>
        <v>080068275760</v>
      </c>
      <c r="F340" s="3">
        <v>45932</v>
      </c>
      <c r="G340">
        <v>202607</v>
      </c>
      <c r="H340" t="s">
        <v>79</v>
      </c>
      <c r="I340" t="s">
        <v>80</v>
      </c>
      <c r="J340" t="s">
        <v>91</v>
      </c>
      <c r="K340" t="s">
        <v>78</v>
      </c>
      <c r="L340" t="s">
        <v>605</v>
      </c>
      <c r="M340" t="s">
        <v>606</v>
      </c>
      <c r="N340" t="s">
        <v>607</v>
      </c>
      <c r="O340" t="s">
        <v>82</v>
      </c>
      <c r="P340" t="str">
        <f>"4170062625                    "</f>
        <v xml:space="preserve">4170062625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43.31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137.47</v>
      </c>
      <c r="BM340">
        <v>20.62</v>
      </c>
      <c r="BN340">
        <v>158.09</v>
      </c>
      <c r="BO340">
        <v>158.09</v>
      </c>
      <c r="BQ340" t="s">
        <v>608</v>
      </c>
      <c r="BR340" t="s">
        <v>97</v>
      </c>
      <c r="BS340" s="3">
        <v>45933</v>
      </c>
      <c r="BT340" s="4">
        <v>0.33611111111111114</v>
      </c>
      <c r="BU340" t="s">
        <v>609</v>
      </c>
      <c r="BV340" t="s">
        <v>86</v>
      </c>
      <c r="BY340">
        <v>1200</v>
      </c>
      <c r="BZ340" t="s">
        <v>87</v>
      </c>
      <c r="CA340" t="s">
        <v>610</v>
      </c>
      <c r="CC340" t="s">
        <v>606</v>
      </c>
      <c r="CD340">
        <v>1947</v>
      </c>
      <c r="CE340" t="s">
        <v>120</v>
      </c>
      <c r="CF340" s="3">
        <v>45936</v>
      </c>
      <c r="CI340">
        <v>1</v>
      </c>
      <c r="CJ340">
        <v>1</v>
      </c>
      <c r="CK340">
        <v>23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"080068275795"</f>
        <v>080068275795</v>
      </c>
      <c r="F341" s="3">
        <v>45932</v>
      </c>
      <c r="G341">
        <v>202607</v>
      </c>
      <c r="H341" t="s">
        <v>79</v>
      </c>
      <c r="I341" t="s">
        <v>80</v>
      </c>
      <c r="J341" t="s">
        <v>91</v>
      </c>
      <c r="K341" t="s">
        <v>78</v>
      </c>
      <c r="L341" t="s">
        <v>168</v>
      </c>
      <c r="M341" t="s">
        <v>169</v>
      </c>
      <c r="N341" t="s">
        <v>923</v>
      </c>
      <c r="O341" t="s">
        <v>82</v>
      </c>
      <c r="P341" t="str">
        <f>"4170062792                    "</f>
        <v xml:space="preserve">4170062792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22.36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1.1000000000000001</v>
      </c>
      <c r="BK341">
        <v>1.5</v>
      </c>
      <c r="BL341">
        <v>70.959999999999994</v>
      </c>
      <c r="BM341">
        <v>10.64</v>
      </c>
      <c r="BN341">
        <v>81.599999999999994</v>
      </c>
      <c r="BO341">
        <v>81.599999999999994</v>
      </c>
      <c r="BQ341" t="s">
        <v>924</v>
      </c>
      <c r="BR341" t="s">
        <v>97</v>
      </c>
      <c r="BS341" s="3">
        <v>45933</v>
      </c>
      <c r="BT341" s="4">
        <v>0.34027777777777779</v>
      </c>
      <c r="BU341" t="s">
        <v>925</v>
      </c>
      <c r="BV341" t="s">
        <v>86</v>
      </c>
      <c r="BY341">
        <v>5510</v>
      </c>
      <c r="BZ341" t="s">
        <v>87</v>
      </c>
      <c r="CC341" t="s">
        <v>169</v>
      </c>
      <c r="CD341" s="5" t="s">
        <v>926</v>
      </c>
      <c r="CE341" t="s">
        <v>101</v>
      </c>
      <c r="CF341" s="3">
        <v>45933</v>
      </c>
      <c r="CI341">
        <v>1</v>
      </c>
      <c r="CJ341">
        <v>1</v>
      </c>
      <c r="CK341">
        <v>21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"080068275820"</f>
        <v>080068275820</v>
      </c>
      <c r="F342" s="3">
        <v>45932</v>
      </c>
      <c r="G342">
        <v>202607</v>
      </c>
      <c r="H342" t="s">
        <v>79</v>
      </c>
      <c r="I342" t="s">
        <v>80</v>
      </c>
      <c r="J342" t="s">
        <v>91</v>
      </c>
      <c r="K342" t="s">
        <v>78</v>
      </c>
      <c r="L342" t="s">
        <v>946</v>
      </c>
      <c r="M342" t="s">
        <v>947</v>
      </c>
      <c r="N342" t="s">
        <v>948</v>
      </c>
      <c r="O342" t="s">
        <v>82</v>
      </c>
      <c r="P342" t="str">
        <f>"4170062801                    "</f>
        <v xml:space="preserve">4170062801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43.31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0.6</v>
      </c>
      <c r="BK342">
        <v>1</v>
      </c>
      <c r="BL342">
        <v>137.47</v>
      </c>
      <c r="BM342">
        <v>20.62</v>
      </c>
      <c r="BN342">
        <v>158.09</v>
      </c>
      <c r="BO342">
        <v>158.09</v>
      </c>
      <c r="BQ342" t="s">
        <v>949</v>
      </c>
      <c r="BR342" t="s">
        <v>97</v>
      </c>
      <c r="BS342" s="3">
        <v>45933</v>
      </c>
      <c r="BT342" s="4">
        <v>0.57638888888888884</v>
      </c>
      <c r="BU342" t="s">
        <v>950</v>
      </c>
      <c r="BV342" t="s">
        <v>86</v>
      </c>
      <c r="BY342">
        <v>3192</v>
      </c>
      <c r="BZ342" t="s">
        <v>87</v>
      </c>
      <c r="CA342" t="s">
        <v>951</v>
      </c>
      <c r="CC342" t="s">
        <v>947</v>
      </c>
      <c r="CD342">
        <v>6500</v>
      </c>
      <c r="CE342" t="s">
        <v>101</v>
      </c>
      <c r="CF342" s="3">
        <v>45936</v>
      </c>
      <c r="CI342">
        <v>1</v>
      </c>
      <c r="CJ342">
        <v>1</v>
      </c>
      <c r="CK342">
        <v>23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"080068275827"</f>
        <v>080068275827</v>
      </c>
      <c r="F343" s="3">
        <v>45932</v>
      </c>
      <c r="G343">
        <v>202607</v>
      </c>
      <c r="H343" t="s">
        <v>79</v>
      </c>
      <c r="I343" t="s">
        <v>80</v>
      </c>
      <c r="J343" t="s">
        <v>91</v>
      </c>
      <c r="K343" t="s">
        <v>78</v>
      </c>
      <c r="L343" t="s">
        <v>108</v>
      </c>
      <c r="M343" t="s">
        <v>109</v>
      </c>
      <c r="N343" t="s">
        <v>751</v>
      </c>
      <c r="O343" t="s">
        <v>82</v>
      </c>
      <c r="P343" t="str">
        <f>"4170062819                    "</f>
        <v xml:space="preserve">4170062819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22.36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70.959999999999994</v>
      </c>
      <c r="BM343">
        <v>10.64</v>
      </c>
      <c r="BN343">
        <v>81.599999999999994</v>
      </c>
      <c r="BO343">
        <v>81.599999999999994</v>
      </c>
      <c r="BQ343" t="s">
        <v>752</v>
      </c>
      <c r="BR343" t="s">
        <v>97</v>
      </c>
      <c r="BS343" s="3">
        <v>45933</v>
      </c>
      <c r="BT343" s="4">
        <v>0.375</v>
      </c>
      <c r="BU343" t="s">
        <v>550</v>
      </c>
      <c r="BV343" t="s">
        <v>86</v>
      </c>
      <c r="BY343">
        <v>1200</v>
      </c>
      <c r="BZ343" t="s">
        <v>87</v>
      </c>
      <c r="CA343" t="s">
        <v>551</v>
      </c>
      <c r="CC343" t="s">
        <v>109</v>
      </c>
      <c r="CD343">
        <v>6001</v>
      </c>
      <c r="CE343" t="s">
        <v>120</v>
      </c>
      <c r="CF343" s="3">
        <v>45933</v>
      </c>
      <c r="CI343">
        <v>1</v>
      </c>
      <c r="CJ343">
        <v>1</v>
      </c>
      <c r="CK343">
        <v>21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"080068275808"</f>
        <v>080068275808</v>
      </c>
      <c r="F344" s="3">
        <v>45932</v>
      </c>
      <c r="G344">
        <v>202607</v>
      </c>
      <c r="H344" t="s">
        <v>79</v>
      </c>
      <c r="I344" t="s">
        <v>80</v>
      </c>
      <c r="J344" t="s">
        <v>91</v>
      </c>
      <c r="K344" t="s">
        <v>78</v>
      </c>
      <c r="L344" t="s">
        <v>108</v>
      </c>
      <c r="M344" t="s">
        <v>109</v>
      </c>
      <c r="N344" t="s">
        <v>312</v>
      </c>
      <c r="O344" t="s">
        <v>82</v>
      </c>
      <c r="P344" t="str">
        <f>"4170062766                    "</f>
        <v xml:space="preserve">4170062766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22.36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70.959999999999994</v>
      </c>
      <c r="BM344">
        <v>10.64</v>
      </c>
      <c r="BN344">
        <v>81.599999999999994</v>
      </c>
      <c r="BO344">
        <v>81.599999999999994</v>
      </c>
      <c r="BQ344" t="s">
        <v>313</v>
      </c>
      <c r="BR344" t="s">
        <v>97</v>
      </c>
      <c r="BS344" s="3">
        <v>45933</v>
      </c>
      <c r="BT344" s="4">
        <v>0.4513888888888889</v>
      </c>
      <c r="BU344" t="s">
        <v>314</v>
      </c>
      <c r="BV344" t="s">
        <v>90</v>
      </c>
      <c r="BY344">
        <v>1200</v>
      </c>
      <c r="BZ344" t="s">
        <v>87</v>
      </c>
      <c r="CA344" t="s">
        <v>113</v>
      </c>
      <c r="CC344" t="s">
        <v>109</v>
      </c>
      <c r="CD344">
        <v>6001</v>
      </c>
      <c r="CE344" t="s">
        <v>120</v>
      </c>
      <c r="CF344" s="3">
        <v>45933</v>
      </c>
      <c r="CI344">
        <v>1</v>
      </c>
      <c r="CJ344">
        <v>1</v>
      </c>
      <c r="CK344">
        <v>21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"080068275846"</f>
        <v>080068275846</v>
      </c>
      <c r="F345" s="3">
        <v>45932</v>
      </c>
      <c r="G345">
        <v>202607</v>
      </c>
      <c r="H345" t="s">
        <v>79</v>
      </c>
      <c r="I345" t="s">
        <v>80</v>
      </c>
      <c r="J345" t="s">
        <v>91</v>
      </c>
      <c r="K345" t="s">
        <v>78</v>
      </c>
      <c r="L345" t="s">
        <v>206</v>
      </c>
      <c r="M345" t="s">
        <v>207</v>
      </c>
      <c r="N345" t="s">
        <v>656</v>
      </c>
      <c r="O345" t="s">
        <v>82</v>
      </c>
      <c r="P345" t="str">
        <f>"4170062791                    "</f>
        <v xml:space="preserve">4170062791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22.36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70.959999999999994</v>
      </c>
      <c r="BM345">
        <v>10.64</v>
      </c>
      <c r="BN345">
        <v>81.599999999999994</v>
      </c>
      <c r="BO345">
        <v>81.599999999999994</v>
      </c>
      <c r="BQ345" t="s">
        <v>657</v>
      </c>
      <c r="BR345" t="s">
        <v>97</v>
      </c>
      <c r="BS345" s="3">
        <v>45933</v>
      </c>
      <c r="BT345" s="4">
        <v>0.4236111111111111</v>
      </c>
      <c r="BU345" t="s">
        <v>777</v>
      </c>
      <c r="BV345" t="s">
        <v>86</v>
      </c>
      <c r="BY345">
        <v>1200</v>
      </c>
      <c r="BZ345" t="s">
        <v>87</v>
      </c>
      <c r="CA345" t="s">
        <v>770</v>
      </c>
      <c r="CC345" t="s">
        <v>207</v>
      </c>
      <c r="CD345">
        <v>7441</v>
      </c>
      <c r="CE345" t="s">
        <v>120</v>
      </c>
      <c r="CF345" s="3">
        <v>45936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"080068275843"</f>
        <v>080068275843</v>
      </c>
      <c r="F346" s="3">
        <v>45932</v>
      </c>
      <c r="G346">
        <v>202607</v>
      </c>
      <c r="H346" t="s">
        <v>79</v>
      </c>
      <c r="I346" t="s">
        <v>80</v>
      </c>
      <c r="J346" t="s">
        <v>91</v>
      </c>
      <c r="K346" t="s">
        <v>78</v>
      </c>
      <c r="L346" t="s">
        <v>148</v>
      </c>
      <c r="M346" t="s">
        <v>149</v>
      </c>
      <c r="N346" t="s">
        <v>952</v>
      </c>
      <c r="O346" t="s">
        <v>82</v>
      </c>
      <c r="P346" t="str">
        <f>"4170062637                    "</f>
        <v xml:space="preserve">4170062637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17.46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1.9</v>
      </c>
      <c r="BK346">
        <v>2</v>
      </c>
      <c r="BL346">
        <v>55.42</v>
      </c>
      <c r="BM346">
        <v>8.31</v>
      </c>
      <c r="BN346">
        <v>63.73</v>
      </c>
      <c r="BO346">
        <v>63.73</v>
      </c>
      <c r="BQ346" t="s">
        <v>953</v>
      </c>
      <c r="BR346" t="s">
        <v>97</v>
      </c>
      <c r="BS346" s="3">
        <v>45933</v>
      </c>
      <c r="BT346" s="4">
        <v>0.41249999999999998</v>
      </c>
      <c r="BU346" t="s">
        <v>954</v>
      </c>
      <c r="BV346" t="s">
        <v>86</v>
      </c>
      <c r="BY346">
        <v>9600</v>
      </c>
      <c r="BZ346" t="s">
        <v>87</v>
      </c>
      <c r="CA346" t="s">
        <v>955</v>
      </c>
      <c r="CC346" t="s">
        <v>149</v>
      </c>
      <c r="CD346">
        <v>2091</v>
      </c>
      <c r="CE346" t="s">
        <v>101</v>
      </c>
      <c r="CF346" s="3">
        <v>45933</v>
      </c>
      <c r="CI346">
        <v>1</v>
      </c>
      <c r="CJ346">
        <v>1</v>
      </c>
      <c r="CK346">
        <v>22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"080068275853"</f>
        <v>080068275853</v>
      </c>
      <c r="F347" s="3">
        <v>45932</v>
      </c>
      <c r="G347">
        <v>202607</v>
      </c>
      <c r="H347" t="s">
        <v>79</v>
      </c>
      <c r="I347" t="s">
        <v>80</v>
      </c>
      <c r="J347" t="s">
        <v>91</v>
      </c>
      <c r="K347" t="s">
        <v>78</v>
      </c>
      <c r="L347" t="s">
        <v>322</v>
      </c>
      <c r="M347" t="s">
        <v>322</v>
      </c>
      <c r="N347" t="s">
        <v>376</v>
      </c>
      <c r="O347" t="s">
        <v>82</v>
      </c>
      <c r="P347" t="str">
        <f>"4170062628                    "</f>
        <v xml:space="preserve">4170062628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43.31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137.47</v>
      </c>
      <c r="BM347">
        <v>20.62</v>
      </c>
      <c r="BN347">
        <v>158.09</v>
      </c>
      <c r="BO347">
        <v>158.09</v>
      </c>
      <c r="BQ347" t="s">
        <v>377</v>
      </c>
      <c r="BR347" t="s">
        <v>97</v>
      </c>
      <c r="BS347" s="3">
        <v>45933</v>
      </c>
      <c r="BT347" s="4">
        <v>0.53472222222222221</v>
      </c>
      <c r="BU347" t="s">
        <v>378</v>
      </c>
      <c r="BV347" t="s">
        <v>86</v>
      </c>
      <c r="BY347">
        <v>1200</v>
      </c>
      <c r="CA347" t="s">
        <v>326</v>
      </c>
      <c r="CC347" t="s">
        <v>322</v>
      </c>
      <c r="CD347">
        <v>7646</v>
      </c>
      <c r="CE347" t="s">
        <v>147</v>
      </c>
      <c r="CF347" s="3">
        <v>45937</v>
      </c>
      <c r="CI347">
        <v>1</v>
      </c>
      <c r="CJ347">
        <v>1</v>
      </c>
      <c r="CK347">
        <v>23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"080068275856"</f>
        <v>080068275856</v>
      </c>
      <c r="F348" s="3">
        <v>45932</v>
      </c>
      <c r="G348">
        <v>202607</v>
      </c>
      <c r="H348" t="s">
        <v>79</v>
      </c>
      <c r="I348" t="s">
        <v>80</v>
      </c>
      <c r="J348" t="s">
        <v>91</v>
      </c>
      <c r="K348" t="s">
        <v>78</v>
      </c>
      <c r="L348" t="s">
        <v>108</v>
      </c>
      <c r="M348" t="s">
        <v>109</v>
      </c>
      <c r="N348" t="s">
        <v>956</v>
      </c>
      <c r="O348" t="s">
        <v>82</v>
      </c>
      <c r="P348" t="str">
        <f>"4170062677                    "</f>
        <v xml:space="preserve">4170062677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22.36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0.9</v>
      </c>
      <c r="BK348">
        <v>1</v>
      </c>
      <c r="BL348">
        <v>70.959999999999994</v>
      </c>
      <c r="BM348">
        <v>10.64</v>
      </c>
      <c r="BN348">
        <v>81.599999999999994</v>
      </c>
      <c r="BO348">
        <v>81.599999999999994</v>
      </c>
      <c r="BQ348" t="s">
        <v>957</v>
      </c>
      <c r="BR348" t="s">
        <v>97</v>
      </c>
      <c r="BS348" s="3">
        <v>45933</v>
      </c>
      <c r="BT348" s="4">
        <v>0.38333333333333336</v>
      </c>
      <c r="BU348" t="s">
        <v>958</v>
      </c>
      <c r="BV348" t="s">
        <v>86</v>
      </c>
      <c r="BY348">
        <v>4275</v>
      </c>
      <c r="BZ348" t="s">
        <v>87</v>
      </c>
      <c r="CA348" t="s">
        <v>232</v>
      </c>
      <c r="CC348" t="s">
        <v>109</v>
      </c>
      <c r="CD348">
        <v>6001</v>
      </c>
      <c r="CE348" t="s">
        <v>101</v>
      </c>
      <c r="CF348" s="3">
        <v>45933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"080068275865"</f>
        <v>080068275865</v>
      </c>
      <c r="F349" s="3">
        <v>45932</v>
      </c>
      <c r="G349">
        <v>202607</v>
      </c>
      <c r="H349" t="s">
        <v>79</v>
      </c>
      <c r="I349" t="s">
        <v>80</v>
      </c>
      <c r="J349" t="s">
        <v>91</v>
      </c>
      <c r="K349" t="s">
        <v>78</v>
      </c>
      <c r="L349" t="s">
        <v>206</v>
      </c>
      <c r="M349" t="s">
        <v>207</v>
      </c>
      <c r="N349" t="s">
        <v>656</v>
      </c>
      <c r="O349" t="s">
        <v>82</v>
      </c>
      <c r="P349" t="str">
        <f>"4170062610                    "</f>
        <v xml:space="preserve">4170062610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22.36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70.959999999999994</v>
      </c>
      <c r="BM349">
        <v>10.64</v>
      </c>
      <c r="BN349">
        <v>81.599999999999994</v>
      </c>
      <c r="BO349">
        <v>81.599999999999994</v>
      </c>
      <c r="BQ349" t="s">
        <v>657</v>
      </c>
      <c r="BR349" t="s">
        <v>97</v>
      </c>
      <c r="BS349" s="3">
        <v>45933</v>
      </c>
      <c r="BT349" s="4">
        <v>0.4236111111111111</v>
      </c>
      <c r="BU349" t="s">
        <v>777</v>
      </c>
      <c r="BV349" t="s">
        <v>86</v>
      </c>
      <c r="BY349">
        <v>1200</v>
      </c>
      <c r="BZ349" t="s">
        <v>87</v>
      </c>
      <c r="CA349" t="s">
        <v>770</v>
      </c>
      <c r="CC349" t="s">
        <v>207</v>
      </c>
      <c r="CD349">
        <v>7441</v>
      </c>
      <c r="CE349" t="s">
        <v>120</v>
      </c>
      <c r="CF349" s="3">
        <v>45936</v>
      </c>
      <c r="CI349">
        <v>1</v>
      </c>
      <c r="CJ349">
        <v>1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"080068275879"</f>
        <v>080068275879</v>
      </c>
      <c r="F350" s="3">
        <v>45932</v>
      </c>
      <c r="G350">
        <v>202607</v>
      </c>
      <c r="H350" t="s">
        <v>79</v>
      </c>
      <c r="I350" t="s">
        <v>80</v>
      </c>
      <c r="J350" t="s">
        <v>91</v>
      </c>
      <c r="K350" t="s">
        <v>78</v>
      </c>
      <c r="L350" t="s">
        <v>959</v>
      </c>
      <c r="M350" t="s">
        <v>960</v>
      </c>
      <c r="N350" t="s">
        <v>961</v>
      </c>
      <c r="O350" t="s">
        <v>82</v>
      </c>
      <c r="P350" t="str">
        <f>"4170062750                    "</f>
        <v xml:space="preserve">4170062750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43.31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137.47</v>
      </c>
      <c r="BM350">
        <v>20.62</v>
      </c>
      <c r="BN350">
        <v>158.09</v>
      </c>
      <c r="BO350">
        <v>158.09</v>
      </c>
      <c r="BQ350" t="s">
        <v>962</v>
      </c>
      <c r="BR350" t="s">
        <v>97</v>
      </c>
      <c r="BS350" s="3">
        <v>45933</v>
      </c>
      <c r="BT350" s="4">
        <v>0.5</v>
      </c>
      <c r="BU350" t="s">
        <v>963</v>
      </c>
      <c r="BV350" t="s">
        <v>86</v>
      </c>
      <c r="BY350">
        <v>1200</v>
      </c>
      <c r="BZ350" t="s">
        <v>87</v>
      </c>
      <c r="CA350" t="s">
        <v>964</v>
      </c>
      <c r="CC350" t="s">
        <v>960</v>
      </c>
      <c r="CD350">
        <v>6300</v>
      </c>
      <c r="CE350" t="s">
        <v>120</v>
      </c>
      <c r="CF350" s="3">
        <v>45933</v>
      </c>
      <c r="CI350">
        <v>2</v>
      </c>
      <c r="CJ350">
        <v>1</v>
      </c>
      <c r="CK350">
        <v>23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"080068275903"</f>
        <v>080068275903</v>
      </c>
      <c r="F351" s="3">
        <v>45932</v>
      </c>
      <c r="G351">
        <v>202607</v>
      </c>
      <c r="H351" t="s">
        <v>79</v>
      </c>
      <c r="I351" t="s">
        <v>80</v>
      </c>
      <c r="J351" t="s">
        <v>91</v>
      </c>
      <c r="K351" t="s">
        <v>78</v>
      </c>
      <c r="L351" t="s">
        <v>79</v>
      </c>
      <c r="M351" t="s">
        <v>80</v>
      </c>
      <c r="N351" t="s">
        <v>965</v>
      </c>
      <c r="O351" t="s">
        <v>82</v>
      </c>
      <c r="P351" t="str">
        <f>"4170062752                    "</f>
        <v xml:space="preserve">4170062752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17.46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55.42</v>
      </c>
      <c r="BM351">
        <v>8.31</v>
      </c>
      <c r="BN351">
        <v>63.73</v>
      </c>
      <c r="BO351">
        <v>63.73</v>
      </c>
      <c r="BQ351" t="s">
        <v>966</v>
      </c>
      <c r="BR351" t="s">
        <v>97</v>
      </c>
      <c r="BS351" s="3">
        <v>45933</v>
      </c>
      <c r="BT351" s="4">
        <v>0.37152777777777779</v>
      </c>
      <c r="BU351" t="s">
        <v>967</v>
      </c>
      <c r="BV351" t="s">
        <v>86</v>
      </c>
      <c r="BY351">
        <v>1200</v>
      </c>
      <c r="CA351" t="s">
        <v>166</v>
      </c>
      <c r="CC351" t="s">
        <v>80</v>
      </c>
      <c r="CD351">
        <v>1618</v>
      </c>
      <c r="CE351" t="s">
        <v>147</v>
      </c>
      <c r="CF351" s="3">
        <v>45934</v>
      </c>
      <c r="CI351">
        <v>1</v>
      </c>
      <c r="CJ351">
        <v>1</v>
      </c>
      <c r="CK351">
        <v>22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"080068275944"</f>
        <v>080068275944</v>
      </c>
      <c r="F352" s="3">
        <v>45932</v>
      </c>
      <c r="G352">
        <v>202607</v>
      </c>
      <c r="H352" t="s">
        <v>79</v>
      </c>
      <c r="I352" t="s">
        <v>80</v>
      </c>
      <c r="J352" t="s">
        <v>91</v>
      </c>
      <c r="K352" t="s">
        <v>78</v>
      </c>
      <c r="L352" t="s">
        <v>453</v>
      </c>
      <c r="M352" t="s">
        <v>454</v>
      </c>
      <c r="N352" t="s">
        <v>968</v>
      </c>
      <c r="O352" t="s">
        <v>82</v>
      </c>
      <c r="P352" t="str">
        <f>"4170062805                    "</f>
        <v xml:space="preserve">4170062805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22.36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70.959999999999994</v>
      </c>
      <c r="BM352">
        <v>10.64</v>
      </c>
      <c r="BN352">
        <v>81.599999999999994</v>
      </c>
      <c r="BO352">
        <v>81.599999999999994</v>
      </c>
      <c r="BQ352" t="s">
        <v>969</v>
      </c>
      <c r="BR352" t="s">
        <v>97</v>
      </c>
      <c r="BS352" s="3">
        <v>45933</v>
      </c>
      <c r="BT352" s="4">
        <v>0.37986111111111109</v>
      </c>
      <c r="BU352" t="s">
        <v>970</v>
      </c>
      <c r="BV352" t="s">
        <v>86</v>
      </c>
      <c r="BY352">
        <v>1200</v>
      </c>
      <c r="BZ352" t="s">
        <v>87</v>
      </c>
      <c r="CA352" t="s">
        <v>848</v>
      </c>
      <c r="CC352" t="s">
        <v>454</v>
      </c>
      <c r="CD352">
        <v>3600</v>
      </c>
      <c r="CE352" t="s">
        <v>120</v>
      </c>
      <c r="CF352" s="3">
        <v>45933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"080068276067"</f>
        <v>080068276067</v>
      </c>
      <c r="F353" s="3">
        <v>45932</v>
      </c>
      <c r="G353">
        <v>202607</v>
      </c>
      <c r="H353" t="s">
        <v>79</v>
      </c>
      <c r="I353" t="s">
        <v>80</v>
      </c>
      <c r="J353" t="s">
        <v>91</v>
      </c>
      <c r="K353" t="s">
        <v>78</v>
      </c>
      <c r="L353" t="s">
        <v>206</v>
      </c>
      <c r="M353" t="s">
        <v>207</v>
      </c>
      <c r="N353" t="s">
        <v>656</v>
      </c>
      <c r="O353" t="s">
        <v>82</v>
      </c>
      <c r="P353" t="str">
        <f>"4170062762                    "</f>
        <v xml:space="preserve">4170062762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44.69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4</v>
      </c>
      <c r="BJ353">
        <v>1.7</v>
      </c>
      <c r="BK353">
        <v>4</v>
      </c>
      <c r="BL353">
        <v>141.85</v>
      </c>
      <c r="BM353">
        <v>21.28</v>
      </c>
      <c r="BN353">
        <v>163.13</v>
      </c>
      <c r="BO353">
        <v>163.13</v>
      </c>
      <c r="BQ353" t="s">
        <v>657</v>
      </c>
      <c r="BR353" t="s">
        <v>97</v>
      </c>
      <c r="BS353" s="3">
        <v>45933</v>
      </c>
      <c r="BT353" s="4">
        <v>0.4236111111111111</v>
      </c>
      <c r="BU353" t="s">
        <v>777</v>
      </c>
      <c r="BV353" t="s">
        <v>86</v>
      </c>
      <c r="BY353">
        <v>8512</v>
      </c>
      <c r="BZ353" t="s">
        <v>87</v>
      </c>
      <c r="CA353" t="s">
        <v>770</v>
      </c>
      <c r="CC353" t="s">
        <v>207</v>
      </c>
      <c r="CD353">
        <v>7441</v>
      </c>
      <c r="CE353" t="s">
        <v>101</v>
      </c>
      <c r="CF353" s="3">
        <v>45936</v>
      </c>
      <c r="CI353">
        <v>1</v>
      </c>
      <c r="CJ353">
        <v>1</v>
      </c>
      <c r="CK353">
        <v>21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"080068276092"</f>
        <v>080068276092</v>
      </c>
      <c r="F354" s="3">
        <v>45932</v>
      </c>
      <c r="G354">
        <v>202607</v>
      </c>
      <c r="H354" t="s">
        <v>79</v>
      </c>
      <c r="I354" t="s">
        <v>80</v>
      </c>
      <c r="J354" t="s">
        <v>91</v>
      </c>
      <c r="K354" t="s">
        <v>78</v>
      </c>
      <c r="L354" t="s">
        <v>206</v>
      </c>
      <c r="M354" t="s">
        <v>207</v>
      </c>
      <c r="N354" t="s">
        <v>656</v>
      </c>
      <c r="O354" t="s">
        <v>82</v>
      </c>
      <c r="P354" t="str">
        <f>"4170062704                    "</f>
        <v xml:space="preserve">4170062704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22.36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70.959999999999994</v>
      </c>
      <c r="BM354">
        <v>10.64</v>
      </c>
      <c r="BN354">
        <v>81.599999999999994</v>
      </c>
      <c r="BO354">
        <v>81.599999999999994</v>
      </c>
      <c r="BQ354" t="s">
        <v>657</v>
      </c>
      <c r="BR354" t="s">
        <v>97</v>
      </c>
      <c r="BS354" s="3">
        <v>45933</v>
      </c>
      <c r="BT354" s="4">
        <v>0.4236111111111111</v>
      </c>
      <c r="BU354" t="s">
        <v>777</v>
      </c>
      <c r="BV354" t="s">
        <v>86</v>
      </c>
      <c r="BY354">
        <v>1200</v>
      </c>
      <c r="BZ354" t="s">
        <v>87</v>
      </c>
      <c r="CA354" t="s">
        <v>770</v>
      </c>
      <c r="CC354" t="s">
        <v>207</v>
      </c>
      <c r="CD354">
        <v>7441</v>
      </c>
      <c r="CE354" t="s">
        <v>120</v>
      </c>
      <c r="CF354" s="3">
        <v>45936</v>
      </c>
      <c r="CI354">
        <v>1</v>
      </c>
      <c r="CJ354">
        <v>1</v>
      </c>
      <c r="CK354">
        <v>21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"080068276085"</f>
        <v>080068276085</v>
      </c>
      <c r="F355" s="3">
        <v>45932</v>
      </c>
      <c r="G355">
        <v>202607</v>
      </c>
      <c r="H355" t="s">
        <v>79</v>
      </c>
      <c r="I355" t="s">
        <v>80</v>
      </c>
      <c r="J355" t="s">
        <v>91</v>
      </c>
      <c r="K355" t="s">
        <v>78</v>
      </c>
      <c r="L355" t="s">
        <v>206</v>
      </c>
      <c r="M355" t="s">
        <v>207</v>
      </c>
      <c r="N355" t="s">
        <v>656</v>
      </c>
      <c r="O355" t="s">
        <v>82</v>
      </c>
      <c r="P355" t="str">
        <f>"4170062708                    "</f>
        <v xml:space="preserve">4170062708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39.11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3.4</v>
      </c>
      <c r="BK355">
        <v>3.5</v>
      </c>
      <c r="BL355">
        <v>124.13</v>
      </c>
      <c r="BM355">
        <v>18.62</v>
      </c>
      <c r="BN355">
        <v>142.75</v>
      </c>
      <c r="BO355">
        <v>142.75</v>
      </c>
      <c r="BQ355" t="s">
        <v>657</v>
      </c>
      <c r="BR355" t="s">
        <v>97</v>
      </c>
      <c r="BS355" s="3">
        <v>45933</v>
      </c>
      <c r="BT355" s="4">
        <v>0.4236111111111111</v>
      </c>
      <c r="BU355" t="s">
        <v>777</v>
      </c>
      <c r="BV355" t="s">
        <v>86</v>
      </c>
      <c r="BY355">
        <v>16965</v>
      </c>
      <c r="BZ355" t="s">
        <v>87</v>
      </c>
      <c r="CA355" t="s">
        <v>770</v>
      </c>
      <c r="CC355" t="s">
        <v>207</v>
      </c>
      <c r="CD355">
        <v>7441</v>
      </c>
      <c r="CE355" t="s">
        <v>101</v>
      </c>
      <c r="CF355" s="3">
        <v>45936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"080068276104"</f>
        <v>080068276104</v>
      </c>
      <c r="F356" s="3">
        <v>45932</v>
      </c>
      <c r="G356">
        <v>202607</v>
      </c>
      <c r="H356" t="s">
        <v>79</v>
      </c>
      <c r="I356" t="s">
        <v>80</v>
      </c>
      <c r="J356" t="s">
        <v>91</v>
      </c>
      <c r="K356" t="s">
        <v>78</v>
      </c>
      <c r="L356" t="s">
        <v>884</v>
      </c>
      <c r="M356" t="s">
        <v>885</v>
      </c>
      <c r="N356" t="s">
        <v>886</v>
      </c>
      <c r="O356" t="s">
        <v>82</v>
      </c>
      <c r="P356" t="str">
        <f>"4170062649                    "</f>
        <v xml:space="preserve">4170062649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82.43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3</v>
      </c>
      <c r="BJ356">
        <v>3.8</v>
      </c>
      <c r="BK356">
        <v>4</v>
      </c>
      <c r="BL356">
        <v>261.63</v>
      </c>
      <c r="BM356">
        <v>39.24</v>
      </c>
      <c r="BN356">
        <v>300.87</v>
      </c>
      <c r="BO356">
        <v>300.87</v>
      </c>
      <c r="BQ356" t="s">
        <v>887</v>
      </c>
      <c r="BR356" t="s">
        <v>97</v>
      </c>
      <c r="BS356" s="3">
        <v>45933</v>
      </c>
      <c r="BT356" s="4">
        <v>0.3611111111111111</v>
      </c>
      <c r="BU356" t="s">
        <v>888</v>
      </c>
      <c r="BV356" t="s">
        <v>86</v>
      </c>
      <c r="BY356">
        <v>19227</v>
      </c>
      <c r="CC356" t="s">
        <v>885</v>
      </c>
      <c r="CD356">
        <v>2740</v>
      </c>
      <c r="CE356" t="s">
        <v>191</v>
      </c>
      <c r="CF356" s="3">
        <v>45936</v>
      </c>
      <c r="CI356">
        <v>1</v>
      </c>
      <c r="CJ356">
        <v>1</v>
      </c>
      <c r="CK356">
        <v>23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"080068276113"</f>
        <v>080068276113</v>
      </c>
      <c r="F357" s="3">
        <v>45932</v>
      </c>
      <c r="G357">
        <v>202607</v>
      </c>
      <c r="H357" t="s">
        <v>79</v>
      </c>
      <c r="I357" t="s">
        <v>80</v>
      </c>
      <c r="J357" t="s">
        <v>91</v>
      </c>
      <c r="K357" t="s">
        <v>78</v>
      </c>
      <c r="L357" t="s">
        <v>300</v>
      </c>
      <c r="M357" t="s">
        <v>301</v>
      </c>
      <c r="N357" t="s">
        <v>971</v>
      </c>
      <c r="O357" t="s">
        <v>82</v>
      </c>
      <c r="P357" t="str">
        <f>"4170062798                    "</f>
        <v xml:space="preserve">4170062798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31.44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99.79</v>
      </c>
      <c r="BM357">
        <v>14.97</v>
      </c>
      <c r="BN357">
        <v>114.76</v>
      </c>
      <c r="BO357">
        <v>114.76</v>
      </c>
      <c r="BQ357" t="s">
        <v>972</v>
      </c>
      <c r="BR357" t="s">
        <v>97</v>
      </c>
      <c r="BS357" s="3">
        <v>45933</v>
      </c>
      <c r="BT357" s="4">
        <v>0.38680555555555557</v>
      </c>
      <c r="BU357" t="s">
        <v>973</v>
      </c>
      <c r="BV357" t="s">
        <v>86</v>
      </c>
      <c r="BY357">
        <v>1200</v>
      </c>
      <c r="BZ357" t="s">
        <v>87</v>
      </c>
      <c r="CA357" t="s">
        <v>974</v>
      </c>
      <c r="CC357" t="s">
        <v>301</v>
      </c>
      <c r="CD357">
        <v>1754</v>
      </c>
      <c r="CE357" t="s">
        <v>120</v>
      </c>
      <c r="CF357" s="3">
        <v>45933</v>
      </c>
      <c r="CI357">
        <v>1</v>
      </c>
      <c r="CJ357">
        <v>1</v>
      </c>
      <c r="CK357">
        <v>24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"080068276126"</f>
        <v>080068276126</v>
      </c>
      <c r="F358" s="3">
        <v>45932</v>
      </c>
      <c r="G358">
        <v>202607</v>
      </c>
      <c r="H358" t="s">
        <v>79</v>
      </c>
      <c r="I358" t="s">
        <v>80</v>
      </c>
      <c r="J358" t="s">
        <v>91</v>
      </c>
      <c r="K358" t="s">
        <v>78</v>
      </c>
      <c r="L358" t="s">
        <v>148</v>
      </c>
      <c r="M358" t="s">
        <v>149</v>
      </c>
      <c r="N358" t="s">
        <v>685</v>
      </c>
      <c r="O358" t="s">
        <v>226</v>
      </c>
      <c r="P358" t="str">
        <f>"4170062813                    "</f>
        <v xml:space="preserve">4170062813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17.47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4</v>
      </c>
      <c r="BJ358">
        <v>3.9</v>
      </c>
      <c r="BK358">
        <v>4</v>
      </c>
      <c r="BL358">
        <v>55.44</v>
      </c>
      <c r="BM358">
        <v>8.32</v>
      </c>
      <c r="BN358">
        <v>63.76</v>
      </c>
      <c r="BO358">
        <v>63.76</v>
      </c>
      <c r="BQ358" t="s">
        <v>686</v>
      </c>
      <c r="BR358" t="s">
        <v>97</v>
      </c>
      <c r="BS358" s="3">
        <v>45933</v>
      </c>
      <c r="BT358" s="4">
        <v>0.51736111111111116</v>
      </c>
      <c r="BU358" t="s">
        <v>902</v>
      </c>
      <c r="BV358" t="s">
        <v>86</v>
      </c>
      <c r="BY358">
        <v>19360</v>
      </c>
      <c r="CA358" t="s">
        <v>904</v>
      </c>
      <c r="CC358" t="s">
        <v>149</v>
      </c>
      <c r="CD358">
        <v>2169</v>
      </c>
      <c r="CE358" t="s">
        <v>975</v>
      </c>
      <c r="CF358" s="3">
        <v>45934</v>
      </c>
      <c r="CI358">
        <v>1</v>
      </c>
      <c r="CJ358">
        <v>1</v>
      </c>
      <c r="CK358">
        <v>32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"080068276149"</f>
        <v>080068276149</v>
      </c>
      <c r="F359" s="3">
        <v>45932</v>
      </c>
      <c r="G359">
        <v>202607</v>
      </c>
      <c r="H359" t="s">
        <v>79</v>
      </c>
      <c r="I359" t="s">
        <v>80</v>
      </c>
      <c r="J359" t="s">
        <v>91</v>
      </c>
      <c r="K359" t="s">
        <v>78</v>
      </c>
      <c r="L359" t="s">
        <v>168</v>
      </c>
      <c r="M359" t="s">
        <v>169</v>
      </c>
      <c r="N359" t="s">
        <v>976</v>
      </c>
      <c r="O359" t="s">
        <v>82</v>
      </c>
      <c r="P359" t="str">
        <f>"4170062802                    "</f>
        <v xml:space="preserve">4170062802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22.36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</v>
      </c>
      <c r="BJ359">
        <v>1.7</v>
      </c>
      <c r="BK359">
        <v>2</v>
      </c>
      <c r="BL359">
        <v>70.959999999999994</v>
      </c>
      <c r="BM359">
        <v>10.64</v>
      </c>
      <c r="BN359">
        <v>81.599999999999994</v>
      </c>
      <c r="BO359">
        <v>81.599999999999994</v>
      </c>
      <c r="BQ359" t="s">
        <v>977</v>
      </c>
      <c r="BR359" t="s">
        <v>97</v>
      </c>
      <c r="BS359" s="3">
        <v>45936</v>
      </c>
      <c r="BT359" s="4">
        <v>0.35208333333333336</v>
      </c>
      <c r="BU359" t="s">
        <v>978</v>
      </c>
      <c r="BV359" t="s">
        <v>90</v>
      </c>
      <c r="BY359">
        <v>8512</v>
      </c>
      <c r="CA359" t="s">
        <v>942</v>
      </c>
      <c r="CC359" t="s">
        <v>169</v>
      </c>
      <c r="CD359" s="5" t="s">
        <v>979</v>
      </c>
      <c r="CE359" t="s">
        <v>191</v>
      </c>
      <c r="CF359" s="3">
        <v>45936</v>
      </c>
      <c r="CI359">
        <v>1</v>
      </c>
      <c r="CJ359">
        <v>2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"080068276175"</f>
        <v>080068276175</v>
      </c>
      <c r="F360" s="3">
        <v>45932</v>
      </c>
      <c r="G360">
        <v>202607</v>
      </c>
      <c r="H360" t="s">
        <v>79</v>
      </c>
      <c r="I360" t="s">
        <v>80</v>
      </c>
      <c r="J360" t="s">
        <v>91</v>
      </c>
      <c r="K360" t="s">
        <v>78</v>
      </c>
      <c r="L360" t="s">
        <v>168</v>
      </c>
      <c r="M360" t="s">
        <v>169</v>
      </c>
      <c r="N360" t="s">
        <v>170</v>
      </c>
      <c r="O360" t="s">
        <v>82</v>
      </c>
      <c r="P360" t="str">
        <f>"4170062608                    "</f>
        <v xml:space="preserve">4170062608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22.36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0.9</v>
      </c>
      <c r="BK360">
        <v>1</v>
      </c>
      <c r="BL360">
        <v>70.959999999999994</v>
      </c>
      <c r="BM360">
        <v>10.64</v>
      </c>
      <c r="BN360">
        <v>81.599999999999994</v>
      </c>
      <c r="BO360">
        <v>81.599999999999994</v>
      </c>
      <c r="BQ360" t="s">
        <v>171</v>
      </c>
      <c r="BR360" t="s">
        <v>97</v>
      </c>
      <c r="BS360" s="3">
        <v>45933</v>
      </c>
      <c r="BT360" s="4">
        <v>0.37291666666666667</v>
      </c>
      <c r="BU360" t="s">
        <v>980</v>
      </c>
      <c r="BV360" t="s">
        <v>86</v>
      </c>
      <c r="BY360">
        <v>4560</v>
      </c>
      <c r="CA360" t="s">
        <v>146</v>
      </c>
      <c r="CC360" t="s">
        <v>169</v>
      </c>
      <c r="CD360" s="5" t="s">
        <v>173</v>
      </c>
      <c r="CE360" t="s">
        <v>191</v>
      </c>
      <c r="CF360" s="3">
        <v>45933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"080068276182"</f>
        <v>080068276182</v>
      </c>
      <c r="F361" s="3">
        <v>45932</v>
      </c>
      <c r="G361">
        <v>202607</v>
      </c>
      <c r="H361" t="s">
        <v>79</v>
      </c>
      <c r="I361" t="s">
        <v>80</v>
      </c>
      <c r="J361" t="s">
        <v>91</v>
      </c>
      <c r="K361" t="s">
        <v>78</v>
      </c>
      <c r="L361" t="s">
        <v>174</v>
      </c>
      <c r="M361" t="s">
        <v>175</v>
      </c>
      <c r="N361" t="s">
        <v>981</v>
      </c>
      <c r="O361" t="s">
        <v>82</v>
      </c>
      <c r="P361" t="str">
        <f>"4170062685                    "</f>
        <v xml:space="preserve">4170062685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17.46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55.42</v>
      </c>
      <c r="BM361">
        <v>8.31</v>
      </c>
      <c r="BN361">
        <v>63.73</v>
      </c>
      <c r="BO361">
        <v>63.73</v>
      </c>
      <c r="BQ361" t="s">
        <v>982</v>
      </c>
      <c r="BR361" t="s">
        <v>97</v>
      </c>
      <c r="BS361" s="3">
        <v>45933</v>
      </c>
      <c r="BT361" s="4">
        <v>0.40416666666666667</v>
      </c>
      <c r="BU361" t="s">
        <v>983</v>
      </c>
      <c r="BV361" t="s">
        <v>86</v>
      </c>
      <c r="BY361">
        <v>1200</v>
      </c>
      <c r="CA361" t="s">
        <v>984</v>
      </c>
      <c r="CC361" t="s">
        <v>175</v>
      </c>
      <c r="CD361">
        <v>1554</v>
      </c>
      <c r="CE361" t="s">
        <v>147</v>
      </c>
      <c r="CF361" s="3">
        <v>45934</v>
      </c>
      <c r="CI361">
        <v>1</v>
      </c>
      <c r="CJ361">
        <v>1</v>
      </c>
      <c r="CK361">
        <v>22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"080068276162"</f>
        <v>080068276162</v>
      </c>
      <c r="F362" s="3">
        <v>45932</v>
      </c>
      <c r="G362">
        <v>202607</v>
      </c>
      <c r="H362" t="s">
        <v>79</v>
      </c>
      <c r="I362" t="s">
        <v>80</v>
      </c>
      <c r="J362" t="s">
        <v>91</v>
      </c>
      <c r="K362" t="s">
        <v>78</v>
      </c>
      <c r="L362" t="s">
        <v>79</v>
      </c>
      <c r="M362" t="s">
        <v>80</v>
      </c>
      <c r="N362" t="s">
        <v>830</v>
      </c>
      <c r="O362" t="s">
        <v>82</v>
      </c>
      <c r="P362" t="str">
        <f>"4170062818                    "</f>
        <v xml:space="preserve">4170062818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17.46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55.42</v>
      </c>
      <c r="BM362">
        <v>8.31</v>
      </c>
      <c r="BN362">
        <v>63.73</v>
      </c>
      <c r="BO362">
        <v>63.73</v>
      </c>
      <c r="BQ362" t="s">
        <v>831</v>
      </c>
      <c r="BR362" t="s">
        <v>97</v>
      </c>
      <c r="BS362" s="3">
        <v>45933</v>
      </c>
      <c r="BT362" s="4">
        <v>0.4236111111111111</v>
      </c>
      <c r="BU362" t="s">
        <v>832</v>
      </c>
      <c r="BV362" t="s">
        <v>86</v>
      </c>
      <c r="BY362">
        <v>1200</v>
      </c>
      <c r="BZ362" t="s">
        <v>87</v>
      </c>
      <c r="CA362" t="s">
        <v>88</v>
      </c>
      <c r="CC362" t="s">
        <v>80</v>
      </c>
      <c r="CD362">
        <v>1619</v>
      </c>
      <c r="CE362" t="s">
        <v>120</v>
      </c>
      <c r="CF362" s="3">
        <v>45933</v>
      </c>
      <c r="CI362">
        <v>1</v>
      </c>
      <c r="CJ362">
        <v>1</v>
      </c>
      <c r="CK362">
        <v>22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"080068276193"</f>
        <v>080068276193</v>
      </c>
      <c r="F363" s="3">
        <v>45932</v>
      </c>
      <c r="G363">
        <v>202607</v>
      </c>
      <c r="H363" t="s">
        <v>79</v>
      </c>
      <c r="I363" t="s">
        <v>80</v>
      </c>
      <c r="J363" t="s">
        <v>91</v>
      </c>
      <c r="K363" t="s">
        <v>78</v>
      </c>
      <c r="L363" t="s">
        <v>108</v>
      </c>
      <c r="M363" t="s">
        <v>109</v>
      </c>
      <c r="N363" t="s">
        <v>938</v>
      </c>
      <c r="O363" t="s">
        <v>82</v>
      </c>
      <c r="P363" t="str">
        <f>"4170062695                    "</f>
        <v xml:space="preserve">4170062695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55.86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5</v>
      </c>
      <c r="BJ363">
        <v>1.9</v>
      </c>
      <c r="BK363">
        <v>5</v>
      </c>
      <c r="BL363">
        <v>177.3</v>
      </c>
      <c r="BM363">
        <v>26.6</v>
      </c>
      <c r="BN363">
        <v>203.9</v>
      </c>
      <c r="BO363">
        <v>203.9</v>
      </c>
      <c r="BQ363" t="s">
        <v>939</v>
      </c>
      <c r="BR363" t="s">
        <v>97</v>
      </c>
      <c r="BS363" s="3">
        <v>45933</v>
      </c>
      <c r="BT363" s="4">
        <v>0.46666666666666667</v>
      </c>
      <c r="BU363" t="s">
        <v>940</v>
      </c>
      <c r="BV363" t="s">
        <v>90</v>
      </c>
      <c r="BY363">
        <v>9600</v>
      </c>
      <c r="BZ363" t="s">
        <v>87</v>
      </c>
      <c r="CA363" t="s">
        <v>232</v>
      </c>
      <c r="CC363" t="s">
        <v>109</v>
      </c>
      <c r="CD363">
        <v>6056</v>
      </c>
      <c r="CE363" t="s">
        <v>101</v>
      </c>
      <c r="CF363" s="3">
        <v>45933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"080068276201"</f>
        <v>080068276201</v>
      </c>
      <c r="F364" s="3">
        <v>45932</v>
      </c>
      <c r="G364">
        <v>202607</v>
      </c>
      <c r="H364" t="s">
        <v>79</v>
      </c>
      <c r="I364" t="s">
        <v>80</v>
      </c>
      <c r="J364" t="s">
        <v>91</v>
      </c>
      <c r="K364" t="s">
        <v>78</v>
      </c>
      <c r="L364" t="s">
        <v>206</v>
      </c>
      <c r="M364" t="s">
        <v>207</v>
      </c>
      <c r="N364" t="s">
        <v>656</v>
      </c>
      <c r="O364" t="s">
        <v>82</v>
      </c>
      <c r="P364" t="str">
        <f>"4170062703                    "</f>
        <v xml:space="preserve">4170062703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22.36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70.959999999999994</v>
      </c>
      <c r="BM364">
        <v>10.64</v>
      </c>
      <c r="BN364">
        <v>81.599999999999994</v>
      </c>
      <c r="BO364">
        <v>81.599999999999994</v>
      </c>
      <c r="BQ364" t="s">
        <v>657</v>
      </c>
      <c r="BR364" t="s">
        <v>97</v>
      </c>
      <c r="BS364" s="3">
        <v>45933</v>
      </c>
      <c r="BT364" s="4">
        <v>0.4236111111111111</v>
      </c>
      <c r="BU364" t="s">
        <v>777</v>
      </c>
      <c r="BV364" t="s">
        <v>86</v>
      </c>
      <c r="BY364">
        <v>1200</v>
      </c>
      <c r="BZ364" t="s">
        <v>87</v>
      </c>
      <c r="CA364" t="s">
        <v>770</v>
      </c>
      <c r="CC364" t="s">
        <v>207</v>
      </c>
      <c r="CD364">
        <v>7441</v>
      </c>
      <c r="CE364" t="s">
        <v>120</v>
      </c>
      <c r="CF364" s="3">
        <v>45936</v>
      </c>
      <c r="CI364">
        <v>1</v>
      </c>
      <c r="CJ364">
        <v>1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"080068276208"</f>
        <v>080068276208</v>
      </c>
      <c r="F365" s="3">
        <v>45932</v>
      </c>
      <c r="G365">
        <v>202607</v>
      </c>
      <c r="H365" t="s">
        <v>79</v>
      </c>
      <c r="I365" t="s">
        <v>80</v>
      </c>
      <c r="J365" t="s">
        <v>91</v>
      </c>
      <c r="K365" t="s">
        <v>78</v>
      </c>
      <c r="L365" t="s">
        <v>206</v>
      </c>
      <c r="M365" t="s">
        <v>207</v>
      </c>
      <c r="N365" t="s">
        <v>943</v>
      </c>
      <c r="O365" t="s">
        <v>82</v>
      </c>
      <c r="P365" t="str">
        <f>"4170062782                    "</f>
        <v xml:space="preserve">4170062782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22.36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0.6</v>
      </c>
      <c r="BK365">
        <v>1</v>
      </c>
      <c r="BL365">
        <v>70.959999999999994</v>
      </c>
      <c r="BM365">
        <v>10.64</v>
      </c>
      <c r="BN365">
        <v>81.599999999999994</v>
      </c>
      <c r="BO365">
        <v>81.599999999999994</v>
      </c>
      <c r="BQ365" t="s">
        <v>944</v>
      </c>
      <c r="BR365" t="s">
        <v>97</v>
      </c>
      <c r="BS365" s="3">
        <v>45933</v>
      </c>
      <c r="BT365" s="4">
        <v>0.41736111111111113</v>
      </c>
      <c r="BU365" t="s">
        <v>945</v>
      </c>
      <c r="BV365" t="s">
        <v>86</v>
      </c>
      <c r="BY365">
        <v>3192</v>
      </c>
      <c r="CA365" t="s">
        <v>461</v>
      </c>
      <c r="CC365" t="s">
        <v>207</v>
      </c>
      <c r="CD365">
        <v>7535</v>
      </c>
      <c r="CE365" t="s">
        <v>191</v>
      </c>
      <c r="CF365" s="3">
        <v>45936</v>
      </c>
      <c r="CI365">
        <v>1</v>
      </c>
      <c r="CJ365">
        <v>1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"080068276214"</f>
        <v>080068276214</v>
      </c>
      <c r="F366" s="3">
        <v>45932</v>
      </c>
      <c r="G366">
        <v>202607</v>
      </c>
      <c r="H366" t="s">
        <v>79</v>
      </c>
      <c r="I366" t="s">
        <v>80</v>
      </c>
      <c r="J366" t="s">
        <v>91</v>
      </c>
      <c r="K366" t="s">
        <v>78</v>
      </c>
      <c r="L366" t="s">
        <v>985</v>
      </c>
      <c r="M366" t="s">
        <v>986</v>
      </c>
      <c r="N366" t="s">
        <v>987</v>
      </c>
      <c r="O366" t="s">
        <v>82</v>
      </c>
      <c r="P366" t="str">
        <f>"4170062681                    "</f>
        <v xml:space="preserve">4170062681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22.36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70.959999999999994</v>
      </c>
      <c r="BM366">
        <v>10.64</v>
      </c>
      <c r="BN366">
        <v>81.599999999999994</v>
      </c>
      <c r="BO366">
        <v>81.599999999999994</v>
      </c>
      <c r="BQ366" t="s">
        <v>988</v>
      </c>
      <c r="BR366" t="s">
        <v>97</v>
      </c>
      <c r="BS366" s="3">
        <v>45933</v>
      </c>
      <c r="BT366" s="4">
        <v>0.36736111111111114</v>
      </c>
      <c r="BU366" t="s">
        <v>989</v>
      </c>
      <c r="BV366" t="s">
        <v>86</v>
      </c>
      <c r="BY366">
        <v>1200</v>
      </c>
      <c r="BZ366" t="s">
        <v>87</v>
      </c>
      <c r="CA366" t="s">
        <v>990</v>
      </c>
      <c r="CC366" t="s">
        <v>986</v>
      </c>
      <c r="CD366">
        <v>7600</v>
      </c>
      <c r="CE366" t="s">
        <v>120</v>
      </c>
      <c r="CF366" s="3">
        <v>45936</v>
      </c>
      <c r="CI366">
        <v>1</v>
      </c>
      <c r="CJ366">
        <v>1</v>
      </c>
      <c r="CK366">
        <v>21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"080068276232"</f>
        <v>080068276232</v>
      </c>
      <c r="F367" s="3">
        <v>45932</v>
      </c>
      <c r="G367">
        <v>202607</v>
      </c>
      <c r="H367" t="s">
        <v>79</v>
      </c>
      <c r="I367" t="s">
        <v>80</v>
      </c>
      <c r="J367" t="s">
        <v>91</v>
      </c>
      <c r="K367" t="s">
        <v>78</v>
      </c>
      <c r="L367" t="s">
        <v>206</v>
      </c>
      <c r="M367" t="s">
        <v>207</v>
      </c>
      <c r="N367" t="s">
        <v>361</v>
      </c>
      <c r="O367" t="s">
        <v>82</v>
      </c>
      <c r="P367" t="str">
        <f>"4170062806                    "</f>
        <v xml:space="preserve">4170062806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22.36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70.959999999999994</v>
      </c>
      <c r="BM367">
        <v>10.64</v>
      </c>
      <c r="BN367">
        <v>81.599999999999994</v>
      </c>
      <c r="BO367">
        <v>81.599999999999994</v>
      </c>
      <c r="BQ367" t="s">
        <v>362</v>
      </c>
      <c r="BR367" t="s">
        <v>97</v>
      </c>
      <c r="BS367" s="3">
        <v>45933</v>
      </c>
      <c r="BT367" s="4">
        <v>0.43125000000000002</v>
      </c>
      <c r="BU367" t="s">
        <v>991</v>
      </c>
      <c r="BV367" t="s">
        <v>86</v>
      </c>
      <c r="BY367">
        <v>1200</v>
      </c>
      <c r="CA367" t="s">
        <v>992</v>
      </c>
      <c r="CC367" t="s">
        <v>207</v>
      </c>
      <c r="CD367">
        <v>7535</v>
      </c>
      <c r="CE367" t="s">
        <v>147</v>
      </c>
      <c r="CF367" s="3">
        <v>45936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"080068276259"</f>
        <v>080068276259</v>
      </c>
      <c r="F368" s="3">
        <v>45932</v>
      </c>
      <c r="G368">
        <v>202607</v>
      </c>
      <c r="H368" t="s">
        <v>79</v>
      </c>
      <c r="I368" t="s">
        <v>80</v>
      </c>
      <c r="J368" t="s">
        <v>91</v>
      </c>
      <c r="K368" t="s">
        <v>78</v>
      </c>
      <c r="L368" t="s">
        <v>884</v>
      </c>
      <c r="M368" t="s">
        <v>885</v>
      </c>
      <c r="N368" t="s">
        <v>886</v>
      </c>
      <c r="O368" t="s">
        <v>82</v>
      </c>
      <c r="P368" t="str">
        <f>"4170062627                    "</f>
        <v xml:space="preserve">4170062627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43.31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1.7</v>
      </c>
      <c r="BJ368">
        <v>1.2</v>
      </c>
      <c r="BK368">
        <v>2</v>
      </c>
      <c r="BL368">
        <v>137.47</v>
      </c>
      <c r="BM368">
        <v>20.62</v>
      </c>
      <c r="BN368">
        <v>158.09</v>
      </c>
      <c r="BO368">
        <v>158.09</v>
      </c>
      <c r="BQ368" t="s">
        <v>887</v>
      </c>
      <c r="BR368" t="s">
        <v>97</v>
      </c>
      <c r="BS368" s="3">
        <v>45933</v>
      </c>
      <c r="BT368" s="4">
        <v>0.3611111111111111</v>
      </c>
      <c r="BU368" t="s">
        <v>888</v>
      </c>
      <c r="BV368" t="s">
        <v>86</v>
      </c>
      <c r="BY368">
        <v>6102.8</v>
      </c>
      <c r="CC368" t="s">
        <v>885</v>
      </c>
      <c r="CD368">
        <v>2740</v>
      </c>
      <c r="CE368" t="s">
        <v>107</v>
      </c>
      <c r="CF368" s="3">
        <v>45936</v>
      </c>
      <c r="CI368">
        <v>1</v>
      </c>
      <c r="CJ368">
        <v>1</v>
      </c>
      <c r="CK368">
        <v>23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"080068276267"</f>
        <v>080068276267</v>
      </c>
      <c r="F369" s="3">
        <v>45932</v>
      </c>
      <c r="G369">
        <v>202607</v>
      </c>
      <c r="H369" t="s">
        <v>79</v>
      </c>
      <c r="I369" t="s">
        <v>80</v>
      </c>
      <c r="J369" t="s">
        <v>91</v>
      </c>
      <c r="K369" t="s">
        <v>78</v>
      </c>
      <c r="L369" t="s">
        <v>206</v>
      </c>
      <c r="M369" t="s">
        <v>207</v>
      </c>
      <c r="N369" t="s">
        <v>477</v>
      </c>
      <c r="O369" t="s">
        <v>82</v>
      </c>
      <c r="P369" t="str">
        <f>"4170062621                    "</f>
        <v xml:space="preserve">4170062621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22.36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70.959999999999994</v>
      </c>
      <c r="BM369">
        <v>10.64</v>
      </c>
      <c r="BN369">
        <v>81.599999999999994</v>
      </c>
      <c r="BO369">
        <v>81.599999999999994</v>
      </c>
      <c r="BQ369" t="s">
        <v>478</v>
      </c>
      <c r="BR369" t="s">
        <v>97</v>
      </c>
      <c r="BS369" s="3">
        <v>45933</v>
      </c>
      <c r="BT369" s="4">
        <v>0.37847222222222221</v>
      </c>
      <c r="BU369" t="s">
        <v>479</v>
      </c>
      <c r="BV369" t="s">
        <v>86</v>
      </c>
      <c r="BY369">
        <v>1200</v>
      </c>
      <c r="BZ369" t="s">
        <v>87</v>
      </c>
      <c r="CA369" t="s">
        <v>480</v>
      </c>
      <c r="CC369" t="s">
        <v>207</v>
      </c>
      <c r="CD369">
        <v>7480</v>
      </c>
      <c r="CE369" t="s">
        <v>120</v>
      </c>
      <c r="CF369" s="3">
        <v>45936</v>
      </c>
      <c r="CI369">
        <v>1</v>
      </c>
      <c r="CJ369">
        <v>1</v>
      </c>
      <c r="CK369">
        <v>21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"080068276275"</f>
        <v>080068276275</v>
      </c>
      <c r="F370" s="3">
        <v>45932</v>
      </c>
      <c r="G370">
        <v>202607</v>
      </c>
      <c r="H370" t="s">
        <v>79</v>
      </c>
      <c r="I370" t="s">
        <v>80</v>
      </c>
      <c r="J370" t="s">
        <v>91</v>
      </c>
      <c r="K370" t="s">
        <v>78</v>
      </c>
      <c r="L370" t="s">
        <v>322</v>
      </c>
      <c r="M370" t="s">
        <v>322</v>
      </c>
      <c r="N370" t="s">
        <v>483</v>
      </c>
      <c r="O370" t="s">
        <v>82</v>
      </c>
      <c r="P370" t="str">
        <f>"4170062715                    "</f>
        <v xml:space="preserve">4170062715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121.55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6</v>
      </c>
      <c r="BJ370">
        <v>3.4</v>
      </c>
      <c r="BK370">
        <v>6</v>
      </c>
      <c r="BL370">
        <v>385.79</v>
      </c>
      <c r="BM370">
        <v>57.87</v>
      </c>
      <c r="BN370">
        <v>443.66</v>
      </c>
      <c r="BO370">
        <v>443.66</v>
      </c>
      <c r="BQ370" t="s">
        <v>486</v>
      </c>
      <c r="BR370" t="s">
        <v>97</v>
      </c>
      <c r="BS370" s="3">
        <v>45933</v>
      </c>
      <c r="BT370" s="4">
        <v>0.53541666666666665</v>
      </c>
      <c r="BU370" t="s">
        <v>485</v>
      </c>
      <c r="BV370" t="s">
        <v>86</v>
      </c>
      <c r="BY370">
        <v>17024</v>
      </c>
      <c r="CA370" t="s">
        <v>326</v>
      </c>
      <c r="CC370" t="s">
        <v>322</v>
      </c>
      <c r="CD370">
        <v>7646</v>
      </c>
      <c r="CE370" t="s">
        <v>191</v>
      </c>
      <c r="CF370" s="3">
        <v>45937</v>
      </c>
      <c r="CI370">
        <v>1</v>
      </c>
      <c r="CJ370">
        <v>1</v>
      </c>
      <c r="CK370">
        <v>23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"080068276286"</f>
        <v>080068276286</v>
      </c>
      <c r="F371" s="3">
        <v>45932</v>
      </c>
      <c r="G371">
        <v>202607</v>
      </c>
      <c r="H371" t="s">
        <v>79</v>
      </c>
      <c r="I371" t="s">
        <v>80</v>
      </c>
      <c r="J371" t="s">
        <v>91</v>
      </c>
      <c r="K371" t="s">
        <v>78</v>
      </c>
      <c r="L371" t="s">
        <v>148</v>
      </c>
      <c r="M371" t="s">
        <v>149</v>
      </c>
      <c r="N371" t="s">
        <v>993</v>
      </c>
      <c r="O371" t="s">
        <v>82</v>
      </c>
      <c r="P371" t="str">
        <f>"4170062527                    "</f>
        <v xml:space="preserve">4170062527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17.46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55.42</v>
      </c>
      <c r="BM371">
        <v>8.31</v>
      </c>
      <c r="BN371">
        <v>63.73</v>
      </c>
      <c r="BO371">
        <v>63.73</v>
      </c>
      <c r="BQ371" t="s">
        <v>994</v>
      </c>
      <c r="BR371" t="s">
        <v>97</v>
      </c>
      <c r="BS371" s="3">
        <v>45933</v>
      </c>
      <c r="BT371" s="4">
        <v>0.35902777777777778</v>
      </c>
      <c r="BU371" t="s">
        <v>995</v>
      </c>
      <c r="BV371" t="s">
        <v>86</v>
      </c>
      <c r="BY371">
        <v>1200</v>
      </c>
      <c r="BZ371" t="s">
        <v>87</v>
      </c>
      <c r="CA371" t="s">
        <v>996</v>
      </c>
      <c r="CC371" t="s">
        <v>149</v>
      </c>
      <c r="CD371">
        <v>2016</v>
      </c>
      <c r="CE371" t="s">
        <v>120</v>
      </c>
      <c r="CF371" s="3">
        <v>45933</v>
      </c>
      <c r="CI371">
        <v>1</v>
      </c>
      <c r="CJ371">
        <v>1</v>
      </c>
      <c r="CK371">
        <v>22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"080068276292"</f>
        <v>080068276292</v>
      </c>
      <c r="F372" s="3">
        <v>45932</v>
      </c>
      <c r="G372">
        <v>202607</v>
      </c>
      <c r="H372" t="s">
        <v>79</v>
      </c>
      <c r="I372" t="s">
        <v>80</v>
      </c>
      <c r="J372" t="s">
        <v>91</v>
      </c>
      <c r="K372" t="s">
        <v>78</v>
      </c>
      <c r="L372" t="s">
        <v>884</v>
      </c>
      <c r="M372" t="s">
        <v>885</v>
      </c>
      <c r="N372" t="s">
        <v>886</v>
      </c>
      <c r="O372" t="s">
        <v>82</v>
      </c>
      <c r="P372" t="str">
        <f>"4170062714                    "</f>
        <v xml:space="preserve">4170062714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43.31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137.47</v>
      </c>
      <c r="BM372">
        <v>20.62</v>
      </c>
      <c r="BN372">
        <v>158.09</v>
      </c>
      <c r="BO372">
        <v>158.09</v>
      </c>
      <c r="BQ372" t="s">
        <v>887</v>
      </c>
      <c r="BR372" t="s">
        <v>97</v>
      </c>
      <c r="BS372" s="3">
        <v>45933</v>
      </c>
      <c r="BT372" s="4">
        <v>0.3611111111111111</v>
      </c>
      <c r="BU372" t="s">
        <v>888</v>
      </c>
      <c r="BV372" t="s">
        <v>86</v>
      </c>
      <c r="BY372">
        <v>1200</v>
      </c>
      <c r="CC372" t="s">
        <v>885</v>
      </c>
      <c r="CD372">
        <v>2740</v>
      </c>
      <c r="CE372" t="s">
        <v>147</v>
      </c>
      <c r="CF372" s="3">
        <v>45936</v>
      </c>
      <c r="CI372">
        <v>1</v>
      </c>
      <c r="CJ372">
        <v>1</v>
      </c>
      <c r="CK372">
        <v>23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"080068276299"</f>
        <v>080068276299</v>
      </c>
      <c r="F373" s="3">
        <v>45932</v>
      </c>
      <c r="G373">
        <v>202607</v>
      </c>
      <c r="H373" t="s">
        <v>79</v>
      </c>
      <c r="I373" t="s">
        <v>80</v>
      </c>
      <c r="J373" t="s">
        <v>91</v>
      </c>
      <c r="K373" t="s">
        <v>78</v>
      </c>
      <c r="L373" t="s">
        <v>108</v>
      </c>
      <c r="M373" t="s">
        <v>109</v>
      </c>
      <c r="N373" t="s">
        <v>997</v>
      </c>
      <c r="O373" t="s">
        <v>95</v>
      </c>
      <c r="P373" t="str">
        <f>"4170062823                    "</f>
        <v xml:space="preserve">4170062823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59.29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2</v>
      </c>
      <c r="BI373">
        <v>16.100000000000001</v>
      </c>
      <c r="BJ373">
        <v>23.1</v>
      </c>
      <c r="BK373">
        <v>24</v>
      </c>
      <c r="BL373">
        <v>194.06</v>
      </c>
      <c r="BM373">
        <v>29.11</v>
      </c>
      <c r="BN373">
        <v>223.17</v>
      </c>
      <c r="BO373">
        <v>223.17</v>
      </c>
      <c r="BQ373" t="s">
        <v>998</v>
      </c>
      <c r="BR373" t="s">
        <v>97</v>
      </c>
      <c r="BS373" s="3">
        <v>45936</v>
      </c>
      <c r="BT373" s="4">
        <v>0.39027777777777778</v>
      </c>
      <c r="BU373" t="s">
        <v>999</v>
      </c>
      <c r="BV373" t="s">
        <v>86</v>
      </c>
      <c r="BY373">
        <v>115273.65</v>
      </c>
      <c r="CA373" t="s">
        <v>1000</v>
      </c>
      <c r="CC373" t="s">
        <v>109</v>
      </c>
      <c r="CD373">
        <v>6001</v>
      </c>
      <c r="CE373" t="s">
        <v>107</v>
      </c>
      <c r="CF373" s="3">
        <v>45936</v>
      </c>
      <c r="CI373">
        <v>3</v>
      </c>
      <c r="CJ373">
        <v>2</v>
      </c>
      <c r="CK373">
        <v>41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"080068276306"</f>
        <v>080068276306</v>
      </c>
      <c r="F374" s="3">
        <v>45932</v>
      </c>
      <c r="G374">
        <v>202607</v>
      </c>
      <c r="H374" t="s">
        <v>79</v>
      </c>
      <c r="I374" t="s">
        <v>80</v>
      </c>
      <c r="J374" t="s">
        <v>91</v>
      </c>
      <c r="K374" t="s">
        <v>78</v>
      </c>
      <c r="L374" t="s">
        <v>79</v>
      </c>
      <c r="M374" t="s">
        <v>80</v>
      </c>
      <c r="N374" t="s">
        <v>1001</v>
      </c>
      <c r="O374" t="s">
        <v>82</v>
      </c>
      <c r="P374" t="str">
        <f>"4170062781                    "</f>
        <v xml:space="preserve">4170062781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17.46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55.42</v>
      </c>
      <c r="BM374">
        <v>8.31</v>
      </c>
      <c r="BN374">
        <v>63.73</v>
      </c>
      <c r="BO374">
        <v>63.73</v>
      </c>
      <c r="BQ374" t="s">
        <v>1002</v>
      </c>
      <c r="BR374" t="s">
        <v>97</v>
      </c>
      <c r="BS374" s="3">
        <v>45933</v>
      </c>
      <c r="BT374" s="4">
        <v>0.37638888888888888</v>
      </c>
      <c r="BU374" t="s">
        <v>1003</v>
      </c>
      <c r="BV374" t="s">
        <v>86</v>
      </c>
      <c r="BY374">
        <v>1200</v>
      </c>
      <c r="CA374" t="s">
        <v>166</v>
      </c>
      <c r="CC374" t="s">
        <v>80</v>
      </c>
      <c r="CD374">
        <v>1625</v>
      </c>
      <c r="CE374" t="s">
        <v>147</v>
      </c>
      <c r="CF374" s="3">
        <v>45934</v>
      </c>
      <c r="CI374">
        <v>1</v>
      </c>
      <c r="CJ374">
        <v>1</v>
      </c>
      <c r="CK374">
        <v>22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"080068276310"</f>
        <v>080068276310</v>
      </c>
      <c r="F375" s="3">
        <v>45932</v>
      </c>
      <c r="G375">
        <v>202607</v>
      </c>
      <c r="H375" t="s">
        <v>79</v>
      </c>
      <c r="I375" t="s">
        <v>80</v>
      </c>
      <c r="J375" t="s">
        <v>91</v>
      </c>
      <c r="K375" t="s">
        <v>78</v>
      </c>
      <c r="L375" t="s">
        <v>79</v>
      </c>
      <c r="M375" t="s">
        <v>80</v>
      </c>
      <c r="N375" t="s">
        <v>1004</v>
      </c>
      <c r="O375" t="s">
        <v>82</v>
      </c>
      <c r="P375" t="str">
        <f>"4170062672                    "</f>
        <v xml:space="preserve">4170062672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17.46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55.42</v>
      </c>
      <c r="BM375">
        <v>8.31</v>
      </c>
      <c r="BN375">
        <v>63.73</v>
      </c>
      <c r="BO375">
        <v>63.73</v>
      </c>
      <c r="BQ375" t="s">
        <v>1005</v>
      </c>
      <c r="BR375" t="s">
        <v>97</v>
      </c>
      <c r="BS375" s="3">
        <v>45933</v>
      </c>
      <c r="BT375" s="4">
        <v>0.33333333333333331</v>
      </c>
      <c r="BU375" t="s">
        <v>1006</v>
      </c>
      <c r="BV375" t="s">
        <v>86</v>
      </c>
      <c r="BY375">
        <v>1200</v>
      </c>
      <c r="BZ375" t="s">
        <v>87</v>
      </c>
      <c r="CA375" t="s">
        <v>1007</v>
      </c>
      <c r="CC375" t="s">
        <v>80</v>
      </c>
      <c r="CD375">
        <v>1609</v>
      </c>
      <c r="CE375" t="s">
        <v>120</v>
      </c>
      <c r="CF375" s="3">
        <v>45933</v>
      </c>
      <c r="CI375">
        <v>1</v>
      </c>
      <c r="CJ375">
        <v>1</v>
      </c>
      <c r="CK375">
        <v>22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"080068276315"</f>
        <v>080068276315</v>
      </c>
      <c r="F376" s="3">
        <v>45932</v>
      </c>
      <c r="G376">
        <v>202607</v>
      </c>
      <c r="H376" t="s">
        <v>79</v>
      </c>
      <c r="I376" t="s">
        <v>80</v>
      </c>
      <c r="J376" t="s">
        <v>91</v>
      </c>
      <c r="K376" t="s">
        <v>78</v>
      </c>
      <c r="L376" t="s">
        <v>1008</v>
      </c>
      <c r="M376" t="s">
        <v>1009</v>
      </c>
      <c r="N376" t="s">
        <v>1010</v>
      </c>
      <c r="O376" t="s">
        <v>82</v>
      </c>
      <c r="P376" t="str">
        <f>"4170062789                    "</f>
        <v xml:space="preserve">4170062789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46.75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3</v>
      </c>
      <c r="BJ376">
        <v>1.7</v>
      </c>
      <c r="BK376">
        <v>3</v>
      </c>
      <c r="BL376">
        <v>148.38</v>
      </c>
      <c r="BM376">
        <v>22.26</v>
      </c>
      <c r="BN376">
        <v>170.64</v>
      </c>
      <c r="BO376">
        <v>170.64</v>
      </c>
      <c r="BQ376" t="s">
        <v>1011</v>
      </c>
      <c r="BR376" t="s">
        <v>97</v>
      </c>
      <c r="BS376" s="3">
        <v>45933</v>
      </c>
      <c r="BT376" s="4">
        <v>0.26458333333333334</v>
      </c>
      <c r="BU376" t="s">
        <v>1012</v>
      </c>
      <c r="BV376" t="s">
        <v>86</v>
      </c>
      <c r="BY376">
        <v>8512</v>
      </c>
      <c r="BZ376" t="s">
        <v>87</v>
      </c>
      <c r="CA376" t="s">
        <v>1013</v>
      </c>
      <c r="CC376" t="s">
        <v>1009</v>
      </c>
      <c r="CD376">
        <v>1759</v>
      </c>
      <c r="CE376" t="s">
        <v>101</v>
      </c>
      <c r="CF376" s="3">
        <v>45933</v>
      </c>
      <c r="CI376">
        <v>1</v>
      </c>
      <c r="CJ376">
        <v>1</v>
      </c>
      <c r="CK376">
        <v>24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"080068276321"</f>
        <v>080068276321</v>
      </c>
      <c r="F377" s="3">
        <v>45932</v>
      </c>
      <c r="G377">
        <v>202607</v>
      </c>
      <c r="H377" t="s">
        <v>79</v>
      </c>
      <c r="I377" t="s">
        <v>80</v>
      </c>
      <c r="J377" t="s">
        <v>91</v>
      </c>
      <c r="K377" t="s">
        <v>78</v>
      </c>
      <c r="L377" t="s">
        <v>114</v>
      </c>
      <c r="M377" t="s">
        <v>115</v>
      </c>
      <c r="N377" t="s">
        <v>1014</v>
      </c>
      <c r="O377" t="s">
        <v>82</v>
      </c>
      <c r="P377" t="str">
        <f>"4170062816                    "</f>
        <v xml:space="preserve">4170062816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22.36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70.959999999999994</v>
      </c>
      <c r="BM377">
        <v>10.64</v>
      </c>
      <c r="BN377">
        <v>81.599999999999994</v>
      </c>
      <c r="BO377">
        <v>81.599999999999994</v>
      </c>
      <c r="BQ377" t="s">
        <v>1015</v>
      </c>
      <c r="BR377" t="s">
        <v>97</v>
      </c>
      <c r="BS377" s="3">
        <v>45936</v>
      </c>
      <c r="BT377" s="4">
        <v>0.61111111111111116</v>
      </c>
      <c r="BU377" t="s">
        <v>1016</v>
      </c>
      <c r="BV377" t="s">
        <v>90</v>
      </c>
      <c r="BY377">
        <v>1200</v>
      </c>
      <c r="CA377" t="s">
        <v>1017</v>
      </c>
      <c r="CC377" t="s">
        <v>115</v>
      </c>
      <c r="CD377">
        <v>5200</v>
      </c>
      <c r="CE377" t="s">
        <v>147</v>
      </c>
      <c r="CF377" s="3">
        <v>45936</v>
      </c>
      <c r="CI377">
        <v>1</v>
      </c>
      <c r="CJ377">
        <v>2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"080068276329"</f>
        <v>080068276329</v>
      </c>
      <c r="F378" s="3">
        <v>45932</v>
      </c>
      <c r="G378">
        <v>202607</v>
      </c>
      <c r="H378" t="s">
        <v>79</v>
      </c>
      <c r="I378" t="s">
        <v>80</v>
      </c>
      <c r="J378" t="s">
        <v>91</v>
      </c>
      <c r="K378" t="s">
        <v>78</v>
      </c>
      <c r="L378" t="s">
        <v>605</v>
      </c>
      <c r="M378" t="s">
        <v>606</v>
      </c>
      <c r="N378" t="s">
        <v>607</v>
      </c>
      <c r="O378" t="s">
        <v>82</v>
      </c>
      <c r="P378" t="str">
        <f>"4170062755                    "</f>
        <v xml:space="preserve">4170062755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43.31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137.47</v>
      </c>
      <c r="BM378">
        <v>20.62</v>
      </c>
      <c r="BN378">
        <v>158.09</v>
      </c>
      <c r="BO378">
        <v>158.09</v>
      </c>
      <c r="BQ378" t="s">
        <v>608</v>
      </c>
      <c r="BR378" t="s">
        <v>97</v>
      </c>
      <c r="BS378" s="3">
        <v>45933</v>
      </c>
      <c r="BT378" s="4">
        <v>0.33611111111111114</v>
      </c>
      <c r="BU378" t="s">
        <v>609</v>
      </c>
      <c r="BV378" t="s">
        <v>86</v>
      </c>
      <c r="BY378">
        <v>1200</v>
      </c>
      <c r="BZ378" t="s">
        <v>87</v>
      </c>
      <c r="CA378" t="s">
        <v>610</v>
      </c>
      <c r="CC378" t="s">
        <v>606</v>
      </c>
      <c r="CD378">
        <v>1947</v>
      </c>
      <c r="CE378" t="s">
        <v>120</v>
      </c>
      <c r="CF378" s="3">
        <v>45936</v>
      </c>
      <c r="CI378">
        <v>1</v>
      </c>
      <c r="CJ378">
        <v>1</v>
      </c>
      <c r="CK378">
        <v>23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"080068276337"</f>
        <v>080068276337</v>
      </c>
      <c r="F379" s="3">
        <v>45932</v>
      </c>
      <c r="G379">
        <v>202607</v>
      </c>
      <c r="H379" t="s">
        <v>79</v>
      </c>
      <c r="I379" t="s">
        <v>80</v>
      </c>
      <c r="J379" t="s">
        <v>91</v>
      </c>
      <c r="K379" t="s">
        <v>78</v>
      </c>
      <c r="L379" t="s">
        <v>306</v>
      </c>
      <c r="M379" t="s">
        <v>307</v>
      </c>
      <c r="N379" t="s">
        <v>308</v>
      </c>
      <c r="O379" t="s">
        <v>82</v>
      </c>
      <c r="P379" t="str">
        <f>"4170062689                    "</f>
        <v xml:space="preserve">4170062689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67.03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6</v>
      </c>
      <c r="BJ379">
        <v>3.4</v>
      </c>
      <c r="BK379">
        <v>6</v>
      </c>
      <c r="BL379">
        <v>212.75</v>
      </c>
      <c r="BM379">
        <v>31.91</v>
      </c>
      <c r="BN379">
        <v>244.66</v>
      </c>
      <c r="BO379">
        <v>244.66</v>
      </c>
      <c r="BQ379" t="s">
        <v>309</v>
      </c>
      <c r="BR379" t="s">
        <v>97</v>
      </c>
      <c r="BS379" s="3">
        <v>45936</v>
      </c>
      <c r="BT379" s="4">
        <v>0.66319444444444442</v>
      </c>
      <c r="BU379" t="s">
        <v>1018</v>
      </c>
      <c r="BV379" t="s">
        <v>90</v>
      </c>
      <c r="BW379" t="s">
        <v>136</v>
      </c>
      <c r="BX379" t="s">
        <v>787</v>
      </c>
      <c r="BY379">
        <v>16965</v>
      </c>
      <c r="CC379" t="s">
        <v>307</v>
      </c>
      <c r="CD379">
        <v>4113</v>
      </c>
      <c r="CE379" t="s">
        <v>191</v>
      </c>
      <c r="CF379" s="3">
        <v>45937</v>
      </c>
      <c r="CI379">
        <v>1</v>
      </c>
      <c r="CJ379">
        <v>2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"080068276342"</f>
        <v>080068276342</v>
      </c>
      <c r="F380" s="3">
        <v>45932</v>
      </c>
      <c r="G380">
        <v>202607</v>
      </c>
      <c r="H380" t="s">
        <v>79</v>
      </c>
      <c r="I380" t="s">
        <v>80</v>
      </c>
      <c r="J380" t="s">
        <v>91</v>
      </c>
      <c r="K380" t="s">
        <v>78</v>
      </c>
      <c r="L380" t="s">
        <v>206</v>
      </c>
      <c r="M380" t="s">
        <v>207</v>
      </c>
      <c r="N380" t="s">
        <v>943</v>
      </c>
      <c r="O380" t="s">
        <v>82</v>
      </c>
      <c r="P380" t="str">
        <f>"4170062784                    "</f>
        <v xml:space="preserve">4170062784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22.36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70.959999999999994</v>
      </c>
      <c r="BM380">
        <v>10.64</v>
      </c>
      <c r="BN380">
        <v>81.599999999999994</v>
      </c>
      <c r="BO380">
        <v>81.599999999999994</v>
      </c>
      <c r="BQ380" t="s">
        <v>944</v>
      </c>
      <c r="BR380" t="s">
        <v>97</v>
      </c>
      <c r="BS380" s="3">
        <v>45933</v>
      </c>
      <c r="BT380" s="4">
        <v>0.41736111111111113</v>
      </c>
      <c r="BU380" t="s">
        <v>945</v>
      </c>
      <c r="BV380" t="s">
        <v>86</v>
      </c>
      <c r="BY380">
        <v>1200</v>
      </c>
      <c r="CA380" t="s">
        <v>461</v>
      </c>
      <c r="CC380" t="s">
        <v>207</v>
      </c>
      <c r="CD380">
        <v>7530</v>
      </c>
      <c r="CE380" t="s">
        <v>147</v>
      </c>
      <c r="CF380" s="3">
        <v>45936</v>
      </c>
      <c r="CI380">
        <v>1</v>
      </c>
      <c r="CJ380">
        <v>1</v>
      </c>
      <c r="CK380">
        <v>21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"080068276351"</f>
        <v>080068276351</v>
      </c>
      <c r="F381" s="3">
        <v>45932</v>
      </c>
      <c r="G381">
        <v>202607</v>
      </c>
      <c r="H381" t="s">
        <v>79</v>
      </c>
      <c r="I381" t="s">
        <v>80</v>
      </c>
      <c r="J381" t="s">
        <v>91</v>
      </c>
      <c r="K381" t="s">
        <v>78</v>
      </c>
      <c r="L381" t="s">
        <v>223</v>
      </c>
      <c r="M381" t="s">
        <v>224</v>
      </c>
      <c r="N381" t="s">
        <v>1019</v>
      </c>
      <c r="O381" t="s">
        <v>82</v>
      </c>
      <c r="P381" t="str">
        <f>"4170062720                    "</f>
        <v xml:space="preserve">4170062720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17.46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3</v>
      </c>
      <c r="BJ381">
        <v>3.1</v>
      </c>
      <c r="BK381">
        <v>4</v>
      </c>
      <c r="BL381">
        <v>55.42</v>
      </c>
      <c r="BM381">
        <v>8.31</v>
      </c>
      <c r="BN381">
        <v>63.73</v>
      </c>
      <c r="BO381">
        <v>63.73</v>
      </c>
      <c r="BQ381" t="s">
        <v>1020</v>
      </c>
      <c r="BR381" t="s">
        <v>97</v>
      </c>
      <c r="BS381" s="3">
        <v>45933</v>
      </c>
      <c r="BT381" s="4">
        <v>0.40486111111111112</v>
      </c>
      <c r="BU381" t="s">
        <v>1021</v>
      </c>
      <c r="BV381" t="s">
        <v>86</v>
      </c>
      <c r="BY381">
        <v>15552</v>
      </c>
      <c r="CA381" t="s">
        <v>508</v>
      </c>
      <c r="CC381" t="s">
        <v>224</v>
      </c>
      <c r="CD381">
        <v>1459</v>
      </c>
      <c r="CE381" t="s">
        <v>107</v>
      </c>
      <c r="CF381" s="3">
        <v>45933</v>
      </c>
      <c r="CI381">
        <v>1</v>
      </c>
      <c r="CJ381">
        <v>1</v>
      </c>
      <c r="CK381">
        <v>22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"080068276352"</f>
        <v>080068276352</v>
      </c>
      <c r="F382" s="3">
        <v>45932</v>
      </c>
      <c r="G382">
        <v>202607</v>
      </c>
      <c r="H382" t="s">
        <v>79</v>
      </c>
      <c r="I382" t="s">
        <v>80</v>
      </c>
      <c r="J382" t="s">
        <v>91</v>
      </c>
      <c r="K382" t="s">
        <v>78</v>
      </c>
      <c r="L382" t="s">
        <v>453</v>
      </c>
      <c r="M382" t="s">
        <v>454</v>
      </c>
      <c r="N382" t="s">
        <v>455</v>
      </c>
      <c r="O382" t="s">
        <v>82</v>
      </c>
      <c r="P382" t="str">
        <f>"4170062800                    "</f>
        <v xml:space="preserve">4170062800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22.36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70.959999999999994</v>
      </c>
      <c r="BM382">
        <v>10.64</v>
      </c>
      <c r="BN382">
        <v>81.599999999999994</v>
      </c>
      <c r="BO382">
        <v>81.599999999999994</v>
      </c>
      <c r="BQ382" t="s">
        <v>456</v>
      </c>
      <c r="BR382" t="s">
        <v>97</v>
      </c>
      <c r="BS382" s="3">
        <v>45933</v>
      </c>
      <c r="BT382" s="4">
        <v>0.40277777777777779</v>
      </c>
      <c r="BU382" t="s">
        <v>1022</v>
      </c>
      <c r="BV382" t="s">
        <v>86</v>
      </c>
      <c r="BY382">
        <v>1200</v>
      </c>
      <c r="BZ382" t="s">
        <v>87</v>
      </c>
      <c r="CA382" t="s">
        <v>848</v>
      </c>
      <c r="CC382" t="s">
        <v>454</v>
      </c>
      <c r="CD382">
        <v>3608</v>
      </c>
      <c r="CE382" t="s">
        <v>120</v>
      </c>
      <c r="CF382" s="3">
        <v>45933</v>
      </c>
      <c r="CI382">
        <v>1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"080068276357"</f>
        <v>080068276357</v>
      </c>
      <c r="F383" s="3">
        <v>45932</v>
      </c>
      <c r="G383">
        <v>202607</v>
      </c>
      <c r="H383" t="s">
        <v>79</v>
      </c>
      <c r="I383" t="s">
        <v>80</v>
      </c>
      <c r="J383" t="s">
        <v>91</v>
      </c>
      <c r="K383" t="s">
        <v>78</v>
      </c>
      <c r="L383" t="s">
        <v>121</v>
      </c>
      <c r="M383" t="s">
        <v>122</v>
      </c>
      <c r="N383" t="s">
        <v>123</v>
      </c>
      <c r="O383" t="s">
        <v>82</v>
      </c>
      <c r="P383" t="str">
        <f>"4170062814                    "</f>
        <v xml:space="preserve">4170062814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22.36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70.959999999999994</v>
      </c>
      <c r="BM383">
        <v>10.64</v>
      </c>
      <c r="BN383">
        <v>81.599999999999994</v>
      </c>
      <c r="BO383">
        <v>81.599999999999994</v>
      </c>
      <c r="BQ383" t="s">
        <v>124</v>
      </c>
      <c r="BR383" t="s">
        <v>97</v>
      </c>
      <c r="BS383" s="3">
        <v>45933</v>
      </c>
      <c r="BT383" s="4">
        <v>0.33819444444444446</v>
      </c>
      <c r="BU383" t="s">
        <v>757</v>
      </c>
      <c r="BV383" t="s">
        <v>86</v>
      </c>
      <c r="BY383">
        <v>1200</v>
      </c>
      <c r="BZ383" t="s">
        <v>87</v>
      </c>
      <c r="CA383" t="s">
        <v>758</v>
      </c>
      <c r="CC383" t="s">
        <v>122</v>
      </c>
      <c r="CD383">
        <v>4000</v>
      </c>
      <c r="CE383" t="s">
        <v>120</v>
      </c>
      <c r="CF383" s="3">
        <v>45933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"080068276361"</f>
        <v>080068276361</v>
      </c>
      <c r="F384" s="3">
        <v>45932</v>
      </c>
      <c r="G384">
        <v>202607</v>
      </c>
      <c r="H384" t="s">
        <v>79</v>
      </c>
      <c r="I384" t="s">
        <v>80</v>
      </c>
      <c r="J384" t="s">
        <v>91</v>
      </c>
      <c r="K384" t="s">
        <v>78</v>
      </c>
      <c r="L384" t="s">
        <v>114</v>
      </c>
      <c r="M384" t="s">
        <v>115</v>
      </c>
      <c r="N384" t="s">
        <v>1014</v>
      </c>
      <c r="O384" t="s">
        <v>82</v>
      </c>
      <c r="P384" t="str">
        <f>"4170062815                    "</f>
        <v xml:space="preserve">4170062815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22.36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0.9</v>
      </c>
      <c r="BK384">
        <v>1</v>
      </c>
      <c r="BL384">
        <v>70.959999999999994</v>
      </c>
      <c r="BM384">
        <v>10.64</v>
      </c>
      <c r="BN384">
        <v>81.599999999999994</v>
      </c>
      <c r="BO384">
        <v>81.599999999999994</v>
      </c>
      <c r="BQ384" t="s">
        <v>1015</v>
      </c>
      <c r="BR384" t="s">
        <v>97</v>
      </c>
      <c r="BS384" s="3">
        <v>45936</v>
      </c>
      <c r="BT384" s="4">
        <v>0.61111111111111116</v>
      </c>
      <c r="BU384" t="s">
        <v>1016</v>
      </c>
      <c r="BV384" t="s">
        <v>90</v>
      </c>
      <c r="BY384">
        <v>4560</v>
      </c>
      <c r="CA384" t="s">
        <v>1017</v>
      </c>
      <c r="CC384" t="s">
        <v>115</v>
      </c>
      <c r="CD384">
        <v>5200</v>
      </c>
      <c r="CE384" t="s">
        <v>191</v>
      </c>
      <c r="CF384" s="3">
        <v>45936</v>
      </c>
      <c r="CI384">
        <v>1</v>
      </c>
      <c r="CJ384">
        <v>2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"080068276364"</f>
        <v>080068276364</v>
      </c>
      <c r="F385" s="3">
        <v>45932</v>
      </c>
      <c r="G385">
        <v>202607</v>
      </c>
      <c r="H385" t="s">
        <v>79</v>
      </c>
      <c r="I385" t="s">
        <v>80</v>
      </c>
      <c r="J385" t="s">
        <v>91</v>
      </c>
      <c r="K385" t="s">
        <v>78</v>
      </c>
      <c r="L385" t="s">
        <v>121</v>
      </c>
      <c r="M385" t="s">
        <v>122</v>
      </c>
      <c r="N385" t="s">
        <v>1023</v>
      </c>
      <c r="O385" t="s">
        <v>82</v>
      </c>
      <c r="P385" t="str">
        <f>"4170062809                    "</f>
        <v xml:space="preserve">4170062809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22.36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70.959999999999994</v>
      </c>
      <c r="BM385">
        <v>10.64</v>
      </c>
      <c r="BN385">
        <v>81.599999999999994</v>
      </c>
      <c r="BO385">
        <v>81.599999999999994</v>
      </c>
      <c r="BQ385" t="s">
        <v>1024</v>
      </c>
      <c r="BR385" t="s">
        <v>97</v>
      </c>
      <c r="BS385" s="3">
        <v>45933</v>
      </c>
      <c r="BT385" s="4">
        <v>0.43611111111111112</v>
      </c>
      <c r="BU385" t="s">
        <v>1025</v>
      </c>
      <c r="BV385" t="s">
        <v>86</v>
      </c>
      <c r="BY385">
        <v>1200</v>
      </c>
      <c r="CA385" t="s">
        <v>1026</v>
      </c>
      <c r="CC385" t="s">
        <v>122</v>
      </c>
      <c r="CD385">
        <v>4000</v>
      </c>
      <c r="CE385" t="s">
        <v>147</v>
      </c>
      <c r="CF385" s="3">
        <v>45934</v>
      </c>
      <c r="CI385">
        <v>1</v>
      </c>
      <c r="CJ385">
        <v>1</v>
      </c>
      <c r="CK385">
        <v>21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"080068276369"</f>
        <v>080068276369</v>
      </c>
      <c r="F386" s="3">
        <v>45932</v>
      </c>
      <c r="G386">
        <v>202607</v>
      </c>
      <c r="H386" t="s">
        <v>79</v>
      </c>
      <c r="I386" t="s">
        <v>80</v>
      </c>
      <c r="J386" t="s">
        <v>91</v>
      </c>
      <c r="K386" t="s">
        <v>78</v>
      </c>
      <c r="L386" t="s">
        <v>206</v>
      </c>
      <c r="M386" t="s">
        <v>207</v>
      </c>
      <c r="N386" t="s">
        <v>1027</v>
      </c>
      <c r="O386" t="s">
        <v>82</v>
      </c>
      <c r="P386" t="str">
        <f>"4170062657                    "</f>
        <v xml:space="preserve">4170062657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22.36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70.959999999999994</v>
      </c>
      <c r="BM386">
        <v>10.64</v>
      </c>
      <c r="BN386">
        <v>81.599999999999994</v>
      </c>
      <c r="BO386">
        <v>81.599999999999994</v>
      </c>
      <c r="BQ386" t="s">
        <v>1028</v>
      </c>
      <c r="BR386" t="s">
        <v>97</v>
      </c>
      <c r="BS386" s="3">
        <v>45933</v>
      </c>
      <c r="BT386" s="4">
        <v>0.41388888888888886</v>
      </c>
      <c r="BU386" t="s">
        <v>1029</v>
      </c>
      <c r="BV386" t="s">
        <v>86</v>
      </c>
      <c r="BY386">
        <v>1200</v>
      </c>
      <c r="CA386" t="s">
        <v>375</v>
      </c>
      <c r="CC386" t="s">
        <v>207</v>
      </c>
      <c r="CD386">
        <v>7800</v>
      </c>
      <c r="CE386" t="s">
        <v>147</v>
      </c>
      <c r="CF386" s="3">
        <v>45936</v>
      </c>
      <c r="CI386">
        <v>1</v>
      </c>
      <c r="CJ386">
        <v>1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"080068276372"</f>
        <v>080068276372</v>
      </c>
      <c r="F387" s="3">
        <v>45932</v>
      </c>
      <c r="G387">
        <v>202607</v>
      </c>
      <c r="H387" t="s">
        <v>79</v>
      </c>
      <c r="I387" t="s">
        <v>80</v>
      </c>
      <c r="J387" t="s">
        <v>91</v>
      </c>
      <c r="K387" t="s">
        <v>78</v>
      </c>
      <c r="L387" t="s">
        <v>271</v>
      </c>
      <c r="M387" t="s">
        <v>272</v>
      </c>
      <c r="N387" t="s">
        <v>1030</v>
      </c>
      <c r="O387" t="s">
        <v>226</v>
      </c>
      <c r="P387" t="str">
        <f>"4170062675                    "</f>
        <v xml:space="preserve">4170062675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17.47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7</v>
      </c>
      <c r="BJ387">
        <v>3.4</v>
      </c>
      <c r="BK387">
        <v>7</v>
      </c>
      <c r="BL387">
        <v>55.44</v>
      </c>
      <c r="BM387">
        <v>8.32</v>
      </c>
      <c r="BN387">
        <v>63.76</v>
      </c>
      <c r="BO387">
        <v>63.76</v>
      </c>
      <c r="BQ387" t="s">
        <v>1031</v>
      </c>
      <c r="BR387" t="s">
        <v>97</v>
      </c>
      <c r="BS387" s="3">
        <v>45933</v>
      </c>
      <c r="BT387" s="4">
        <v>0.38194444444444442</v>
      </c>
      <c r="BU387" t="s">
        <v>1032</v>
      </c>
      <c r="BV387" t="s">
        <v>86</v>
      </c>
      <c r="BY387">
        <v>16965</v>
      </c>
      <c r="BZ387" t="s">
        <v>99</v>
      </c>
      <c r="CA387" t="s">
        <v>661</v>
      </c>
      <c r="CC387" t="s">
        <v>272</v>
      </c>
      <c r="CD387">
        <v>1422</v>
      </c>
      <c r="CE387" t="s">
        <v>101</v>
      </c>
      <c r="CF387" s="3">
        <v>45933</v>
      </c>
      <c r="CI387">
        <v>1</v>
      </c>
      <c r="CJ387">
        <v>1</v>
      </c>
      <c r="CK387">
        <v>32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"080068276376"</f>
        <v>080068276376</v>
      </c>
      <c r="F388" s="3">
        <v>45932</v>
      </c>
      <c r="G388">
        <v>202607</v>
      </c>
      <c r="H388" t="s">
        <v>79</v>
      </c>
      <c r="I388" t="s">
        <v>80</v>
      </c>
      <c r="J388" t="s">
        <v>91</v>
      </c>
      <c r="K388" t="s">
        <v>78</v>
      </c>
      <c r="L388" t="s">
        <v>206</v>
      </c>
      <c r="M388" t="s">
        <v>207</v>
      </c>
      <c r="N388" t="s">
        <v>943</v>
      </c>
      <c r="O388" t="s">
        <v>82</v>
      </c>
      <c r="P388" t="str">
        <f>"4170062783                    "</f>
        <v xml:space="preserve">4170062783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22.36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70.959999999999994</v>
      </c>
      <c r="BM388">
        <v>10.64</v>
      </c>
      <c r="BN388">
        <v>81.599999999999994</v>
      </c>
      <c r="BO388">
        <v>81.599999999999994</v>
      </c>
      <c r="BQ388" t="s">
        <v>944</v>
      </c>
      <c r="BR388" t="s">
        <v>97</v>
      </c>
      <c r="BS388" s="3">
        <v>45933</v>
      </c>
      <c r="BT388" s="4">
        <v>0.41736111111111113</v>
      </c>
      <c r="BU388" t="s">
        <v>945</v>
      </c>
      <c r="BV388" t="s">
        <v>86</v>
      </c>
      <c r="BY388">
        <v>1200</v>
      </c>
      <c r="CA388" t="s">
        <v>461</v>
      </c>
      <c r="CC388" t="s">
        <v>207</v>
      </c>
      <c r="CD388">
        <v>7530</v>
      </c>
      <c r="CE388" t="s">
        <v>147</v>
      </c>
      <c r="CF388" s="3">
        <v>45936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"080068286981"</f>
        <v>080068286981</v>
      </c>
      <c r="F389" s="3">
        <v>45933</v>
      </c>
      <c r="G389">
        <v>202607</v>
      </c>
      <c r="H389" t="s">
        <v>79</v>
      </c>
      <c r="I389" t="s">
        <v>80</v>
      </c>
      <c r="J389" t="s">
        <v>91</v>
      </c>
      <c r="K389" t="s">
        <v>78</v>
      </c>
      <c r="L389" t="s">
        <v>265</v>
      </c>
      <c r="M389" t="s">
        <v>266</v>
      </c>
      <c r="N389" t="s">
        <v>1033</v>
      </c>
      <c r="O389" t="s">
        <v>82</v>
      </c>
      <c r="P389" t="str">
        <f>"4170062828                    "</f>
        <v xml:space="preserve">4170062828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44.69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3.6</v>
      </c>
      <c r="BK389">
        <v>4</v>
      </c>
      <c r="BL389">
        <v>141.85</v>
      </c>
      <c r="BM389">
        <v>21.28</v>
      </c>
      <c r="BN389">
        <v>163.13</v>
      </c>
      <c r="BO389">
        <v>163.13</v>
      </c>
      <c r="BQ389" t="s">
        <v>1034</v>
      </c>
      <c r="BR389" t="s">
        <v>97</v>
      </c>
      <c r="BS389" s="3">
        <v>45936</v>
      </c>
      <c r="BT389" s="4">
        <v>0.33333333333333331</v>
      </c>
      <c r="BU389" t="s">
        <v>1035</v>
      </c>
      <c r="BV389" t="s">
        <v>86</v>
      </c>
      <c r="BY389">
        <v>18096</v>
      </c>
      <c r="CA389" t="s">
        <v>818</v>
      </c>
      <c r="CC389" t="s">
        <v>266</v>
      </c>
      <c r="CD389">
        <v>6230</v>
      </c>
      <c r="CE389" t="s">
        <v>191</v>
      </c>
      <c r="CF389" s="3">
        <v>45937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"080068287000"</f>
        <v>080068287000</v>
      </c>
      <c r="F390" s="3">
        <v>45933</v>
      </c>
      <c r="G390">
        <v>202607</v>
      </c>
      <c r="H390" t="s">
        <v>79</v>
      </c>
      <c r="I390" t="s">
        <v>80</v>
      </c>
      <c r="J390" t="s">
        <v>91</v>
      </c>
      <c r="K390" t="s">
        <v>78</v>
      </c>
      <c r="L390" t="s">
        <v>206</v>
      </c>
      <c r="M390" t="s">
        <v>207</v>
      </c>
      <c r="N390" t="s">
        <v>458</v>
      </c>
      <c r="O390" t="s">
        <v>82</v>
      </c>
      <c r="P390" t="str">
        <f>"4170062861                    "</f>
        <v xml:space="preserve">4170062861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22.36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70.959999999999994</v>
      </c>
      <c r="BM390">
        <v>10.64</v>
      </c>
      <c r="BN390">
        <v>81.599999999999994</v>
      </c>
      <c r="BO390">
        <v>81.599999999999994</v>
      </c>
      <c r="BQ390" t="s">
        <v>459</v>
      </c>
      <c r="BR390" t="s">
        <v>97</v>
      </c>
      <c r="BS390" s="3">
        <v>45936</v>
      </c>
      <c r="BT390" s="4">
        <v>0.40972222222222221</v>
      </c>
      <c r="BU390" t="s">
        <v>1036</v>
      </c>
      <c r="BV390" t="s">
        <v>86</v>
      </c>
      <c r="BY390">
        <v>1200</v>
      </c>
      <c r="CA390" t="s">
        <v>461</v>
      </c>
      <c r="CC390" t="s">
        <v>207</v>
      </c>
      <c r="CD390">
        <v>7530</v>
      </c>
      <c r="CE390" t="s">
        <v>147</v>
      </c>
      <c r="CF390" s="3">
        <v>45937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"080068287227"</f>
        <v>080068287227</v>
      </c>
      <c r="F391" s="3">
        <v>45933</v>
      </c>
      <c r="G391">
        <v>202607</v>
      </c>
      <c r="H391" t="s">
        <v>79</v>
      </c>
      <c r="I391" t="s">
        <v>80</v>
      </c>
      <c r="J391" t="s">
        <v>91</v>
      </c>
      <c r="K391" t="s">
        <v>78</v>
      </c>
      <c r="L391" t="s">
        <v>884</v>
      </c>
      <c r="M391" t="s">
        <v>885</v>
      </c>
      <c r="N391" t="s">
        <v>886</v>
      </c>
      <c r="O391" t="s">
        <v>82</v>
      </c>
      <c r="P391" t="str">
        <f>"4170062788                    "</f>
        <v xml:space="preserve">4170062788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199.79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10</v>
      </c>
      <c r="BJ391">
        <v>4.3</v>
      </c>
      <c r="BK391">
        <v>10</v>
      </c>
      <c r="BL391">
        <v>634.11</v>
      </c>
      <c r="BM391">
        <v>95.12</v>
      </c>
      <c r="BN391">
        <v>729.23</v>
      </c>
      <c r="BO391">
        <v>729.23</v>
      </c>
      <c r="BQ391" t="s">
        <v>887</v>
      </c>
      <c r="BR391" t="s">
        <v>97</v>
      </c>
      <c r="BS391" s="3">
        <v>45936</v>
      </c>
      <c r="BT391" s="4">
        <v>0.34722222222222221</v>
      </c>
      <c r="BU391" t="s">
        <v>888</v>
      </c>
      <c r="BV391" t="s">
        <v>86</v>
      </c>
      <c r="BY391">
        <v>21489</v>
      </c>
      <c r="CC391" t="s">
        <v>885</v>
      </c>
      <c r="CD391">
        <v>2740</v>
      </c>
      <c r="CE391" t="s">
        <v>191</v>
      </c>
      <c r="CF391" s="3">
        <v>45937</v>
      </c>
      <c r="CI391">
        <v>1</v>
      </c>
      <c r="CJ391">
        <v>1</v>
      </c>
      <c r="CK391">
        <v>23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"080068287413"</f>
        <v>080068287413</v>
      </c>
      <c r="F392" s="3">
        <v>45933</v>
      </c>
      <c r="G392">
        <v>202607</v>
      </c>
      <c r="H392" t="s">
        <v>79</v>
      </c>
      <c r="I392" t="s">
        <v>80</v>
      </c>
      <c r="J392" t="s">
        <v>91</v>
      </c>
      <c r="K392" t="s">
        <v>78</v>
      </c>
      <c r="L392" t="s">
        <v>446</v>
      </c>
      <c r="M392" t="s">
        <v>447</v>
      </c>
      <c r="N392" t="s">
        <v>448</v>
      </c>
      <c r="O392" t="s">
        <v>82</v>
      </c>
      <c r="P392" t="str">
        <f>"4170062831                    "</f>
        <v xml:space="preserve">4170062831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43.31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137.47</v>
      </c>
      <c r="BM392">
        <v>20.62</v>
      </c>
      <c r="BN392">
        <v>158.09</v>
      </c>
      <c r="BO392">
        <v>158.09</v>
      </c>
      <c r="BQ392" t="s">
        <v>449</v>
      </c>
      <c r="BR392" t="s">
        <v>97</v>
      </c>
      <c r="BS392" s="3">
        <v>45936</v>
      </c>
      <c r="BT392" s="4">
        <v>0.56111111111111112</v>
      </c>
      <c r="BU392" t="s">
        <v>1037</v>
      </c>
      <c r="BV392" t="s">
        <v>90</v>
      </c>
      <c r="BW392" t="s">
        <v>347</v>
      </c>
      <c r="BX392" t="s">
        <v>1038</v>
      </c>
      <c r="BY392">
        <v>1200</v>
      </c>
      <c r="CA392" t="s">
        <v>1039</v>
      </c>
      <c r="CC392" t="s">
        <v>447</v>
      </c>
      <c r="CD392">
        <v>7130</v>
      </c>
      <c r="CE392" t="s">
        <v>147</v>
      </c>
      <c r="CF392" s="3">
        <v>45937</v>
      </c>
      <c r="CI392">
        <v>1</v>
      </c>
      <c r="CJ392">
        <v>1</v>
      </c>
      <c r="CK392">
        <v>23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"080068287457"</f>
        <v>080068287457</v>
      </c>
      <c r="F393" s="3">
        <v>45933</v>
      </c>
      <c r="G393">
        <v>202607</v>
      </c>
      <c r="H393" t="s">
        <v>79</v>
      </c>
      <c r="I393" t="s">
        <v>80</v>
      </c>
      <c r="J393" t="s">
        <v>91</v>
      </c>
      <c r="K393" t="s">
        <v>78</v>
      </c>
      <c r="L393" t="s">
        <v>148</v>
      </c>
      <c r="M393" t="s">
        <v>149</v>
      </c>
      <c r="N393" t="s">
        <v>465</v>
      </c>
      <c r="O393" t="s">
        <v>82</v>
      </c>
      <c r="P393" t="str">
        <f>"4170062779                    "</f>
        <v xml:space="preserve">4170062779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17.46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55.42</v>
      </c>
      <c r="BM393">
        <v>8.31</v>
      </c>
      <c r="BN393">
        <v>63.73</v>
      </c>
      <c r="BO393">
        <v>63.73</v>
      </c>
      <c r="BQ393" t="s">
        <v>466</v>
      </c>
      <c r="BR393" t="s">
        <v>97</v>
      </c>
      <c r="BS393" s="3">
        <v>45936</v>
      </c>
      <c r="BT393" s="4">
        <v>0.43055555555555558</v>
      </c>
      <c r="BU393" t="s">
        <v>518</v>
      </c>
      <c r="BV393" t="s">
        <v>86</v>
      </c>
      <c r="BY393">
        <v>1200</v>
      </c>
      <c r="CA393" t="s">
        <v>773</v>
      </c>
      <c r="CC393" t="s">
        <v>149</v>
      </c>
      <c r="CD393">
        <v>2094</v>
      </c>
      <c r="CE393" t="s">
        <v>147</v>
      </c>
      <c r="CF393" s="3">
        <v>45936</v>
      </c>
      <c r="CI393">
        <v>1</v>
      </c>
      <c r="CJ393">
        <v>1</v>
      </c>
      <c r="CK393">
        <v>22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"080068287477"</f>
        <v>080068287477</v>
      </c>
      <c r="F394" s="3">
        <v>45933</v>
      </c>
      <c r="G394">
        <v>202607</v>
      </c>
      <c r="H394" t="s">
        <v>79</v>
      </c>
      <c r="I394" t="s">
        <v>80</v>
      </c>
      <c r="J394" t="s">
        <v>91</v>
      </c>
      <c r="K394" t="s">
        <v>78</v>
      </c>
      <c r="L394" t="s">
        <v>206</v>
      </c>
      <c r="M394" t="s">
        <v>207</v>
      </c>
      <c r="N394" t="s">
        <v>458</v>
      </c>
      <c r="O394" t="s">
        <v>82</v>
      </c>
      <c r="P394" t="str">
        <f>"4170062867                    "</f>
        <v xml:space="preserve">4170062867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22.36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70.959999999999994</v>
      </c>
      <c r="BM394">
        <v>10.64</v>
      </c>
      <c r="BN394">
        <v>81.599999999999994</v>
      </c>
      <c r="BO394">
        <v>81.599999999999994</v>
      </c>
      <c r="BQ394" t="s">
        <v>459</v>
      </c>
      <c r="BR394" t="s">
        <v>97</v>
      </c>
      <c r="BS394" s="3">
        <v>45936</v>
      </c>
      <c r="BT394" s="4">
        <v>0.40972222222222221</v>
      </c>
      <c r="BU394" t="s">
        <v>1036</v>
      </c>
      <c r="BV394" t="s">
        <v>86</v>
      </c>
      <c r="BY394">
        <v>1200</v>
      </c>
      <c r="CA394" t="s">
        <v>461</v>
      </c>
      <c r="CC394" t="s">
        <v>207</v>
      </c>
      <c r="CD394">
        <v>7535</v>
      </c>
      <c r="CE394" t="s">
        <v>147</v>
      </c>
      <c r="CF394" s="3">
        <v>45937</v>
      </c>
      <c r="CI394">
        <v>1</v>
      </c>
      <c r="CJ394">
        <v>1</v>
      </c>
      <c r="CK394">
        <v>21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"080068287499"</f>
        <v>080068287499</v>
      </c>
      <c r="F395" s="3">
        <v>45933</v>
      </c>
      <c r="G395">
        <v>202607</v>
      </c>
      <c r="H395" t="s">
        <v>79</v>
      </c>
      <c r="I395" t="s">
        <v>80</v>
      </c>
      <c r="J395" t="s">
        <v>91</v>
      </c>
      <c r="K395" t="s">
        <v>78</v>
      </c>
      <c r="L395" t="s">
        <v>79</v>
      </c>
      <c r="M395" t="s">
        <v>80</v>
      </c>
      <c r="N395" t="s">
        <v>1040</v>
      </c>
      <c r="O395" t="s">
        <v>82</v>
      </c>
      <c r="P395" t="str">
        <f>"4170062853                    "</f>
        <v xml:space="preserve">4170062853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17.46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55.42</v>
      </c>
      <c r="BM395">
        <v>8.31</v>
      </c>
      <c r="BN395">
        <v>63.73</v>
      </c>
      <c r="BO395">
        <v>63.73</v>
      </c>
      <c r="BQ395" t="s">
        <v>1041</v>
      </c>
      <c r="BR395" t="s">
        <v>97</v>
      </c>
      <c r="BS395" s="3">
        <v>45936</v>
      </c>
      <c r="BT395" s="4">
        <v>0.3263888888888889</v>
      </c>
      <c r="BU395" t="s">
        <v>1042</v>
      </c>
      <c r="BV395" t="s">
        <v>86</v>
      </c>
      <c r="BY395">
        <v>1200</v>
      </c>
      <c r="CA395" t="s">
        <v>166</v>
      </c>
      <c r="CC395" t="s">
        <v>80</v>
      </c>
      <c r="CD395">
        <v>1600</v>
      </c>
      <c r="CE395" t="s">
        <v>147</v>
      </c>
      <c r="CF395" s="3">
        <v>45937</v>
      </c>
      <c r="CI395">
        <v>1</v>
      </c>
      <c r="CJ395">
        <v>1</v>
      </c>
      <c r="CK395">
        <v>22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"080068287517"</f>
        <v>080068287517</v>
      </c>
      <c r="F396" s="3">
        <v>45933</v>
      </c>
      <c r="G396">
        <v>202607</v>
      </c>
      <c r="H396" t="s">
        <v>79</v>
      </c>
      <c r="I396" t="s">
        <v>80</v>
      </c>
      <c r="J396" t="s">
        <v>91</v>
      </c>
      <c r="K396" t="s">
        <v>78</v>
      </c>
      <c r="L396" t="s">
        <v>148</v>
      </c>
      <c r="M396" t="s">
        <v>149</v>
      </c>
      <c r="N396" t="s">
        <v>685</v>
      </c>
      <c r="O396" t="s">
        <v>82</v>
      </c>
      <c r="P396" t="str">
        <f>"4170062799                    "</f>
        <v xml:space="preserve">4170062799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17.46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55.42</v>
      </c>
      <c r="BM396">
        <v>8.31</v>
      </c>
      <c r="BN396">
        <v>63.73</v>
      </c>
      <c r="BO396">
        <v>63.73</v>
      </c>
      <c r="BQ396" t="s">
        <v>686</v>
      </c>
      <c r="BR396" t="s">
        <v>97</v>
      </c>
      <c r="BS396" s="3">
        <v>45936</v>
      </c>
      <c r="BT396" s="4">
        <v>0.39583333333333331</v>
      </c>
      <c r="BU396" t="s">
        <v>1043</v>
      </c>
      <c r="BV396" t="s">
        <v>86</v>
      </c>
      <c r="BY396">
        <v>1200</v>
      </c>
      <c r="CA396" t="s">
        <v>904</v>
      </c>
      <c r="CC396" t="s">
        <v>149</v>
      </c>
      <c r="CD396">
        <v>2169</v>
      </c>
      <c r="CE396" t="s">
        <v>147</v>
      </c>
      <c r="CF396" s="3">
        <v>45937</v>
      </c>
      <c r="CI396">
        <v>1</v>
      </c>
      <c r="CJ396">
        <v>1</v>
      </c>
      <c r="CK396">
        <v>22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"080068287540"</f>
        <v>080068287540</v>
      </c>
      <c r="F397" s="3">
        <v>45933</v>
      </c>
      <c r="G397">
        <v>202607</v>
      </c>
      <c r="H397" t="s">
        <v>79</v>
      </c>
      <c r="I397" t="s">
        <v>80</v>
      </c>
      <c r="J397" t="s">
        <v>91</v>
      </c>
      <c r="K397" t="s">
        <v>78</v>
      </c>
      <c r="L397" t="s">
        <v>206</v>
      </c>
      <c r="M397" t="s">
        <v>207</v>
      </c>
      <c r="N397" t="s">
        <v>458</v>
      </c>
      <c r="O397" t="s">
        <v>82</v>
      </c>
      <c r="P397" t="str">
        <f>"4170062860                    "</f>
        <v xml:space="preserve">4170062860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22.36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70.959999999999994</v>
      </c>
      <c r="BM397">
        <v>10.64</v>
      </c>
      <c r="BN397">
        <v>81.599999999999994</v>
      </c>
      <c r="BO397">
        <v>81.599999999999994</v>
      </c>
      <c r="BQ397" t="s">
        <v>459</v>
      </c>
      <c r="BR397" t="s">
        <v>97</v>
      </c>
      <c r="BS397" s="3">
        <v>45936</v>
      </c>
      <c r="BT397" s="4">
        <v>0.40972222222222221</v>
      </c>
      <c r="BU397" t="s">
        <v>1036</v>
      </c>
      <c r="BV397" t="s">
        <v>86</v>
      </c>
      <c r="BY397">
        <v>1200</v>
      </c>
      <c r="CA397" t="s">
        <v>461</v>
      </c>
      <c r="CC397" t="s">
        <v>207</v>
      </c>
      <c r="CD397">
        <v>7530</v>
      </c>
      <c r="CE397" t="s">
        <v>147</v>
      </c>
      <c r="CF397" s="3">
        <v>45937</v>
      </c>
      <c r="CI397">
        <v>1</v>
      </c>
      <c r="CJ397">
        <v>1</v>
      </c>
      <c r="CK397">
        <v>21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"080068287558"</f>
        <v>080068287558</v>
      </c>
      <c r="F398" s="3">
        <v>45933</v>
      </c>
      <c r="G398">
        <v>202607</v>
      </c>
      <c r="H398" t="s">
        <v>79</v>
      </c>
      <c r="I398" t="s">
        <v>80</v>
      </c>
      <c r="J398" t="s">
        <v>91</v>
      </c>
      <c r="K398" t="s">
        <v>78</v>
      </c>
      <c r="L398" t="s">
        <v>206</v>
      </c>
      <c r="M398" t="s">
        <v>207</v>
      </c>
      <c r="N398" t="s">
        <v>458</v>
      </c>
      <c r="O398" t="s">
        <v>82</v>
      </c>
      <c r="P398" t="str">
        <f>"4170062864                    "</f>
        <v xml:space="preserve">4170062864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22.36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70.959999999999994</v>
      </c>
      <c r="BM398">
        <v>10.64</v>
      </c>
      <c r="BN398">
        <v>81.599999999999994</v>
      </c>
      <c r="BO398">
        <v>81.599999999999994</v>
      </c>
      <c r="BQ398" t="s">
        <v>459</v>
      </c>
      <c r="BR398" t="s">
        <v>97</v>
      </c>
      <c r="BS398" s="3">
        <v>45936</v>
      </c>
      <c r="BT398" s="4">
        <v>0.40972222222222221</v>
      </c>
      <c r="BU398" t="s">
        <v>1036</v>
      </c>
      <c r="BV398" t="s">
        <v>86</v>
      </c>
      <c r="BY398">
        <v>1200</v>
      </c>
      <c r="CA398" t="s">
        <v>461</v>
      </c>
      <c r="CC398" t="s">
        <v>207</v>
      </c>
      <c r="CD398">
        <v>7530</v>
      </c>
      <c r="CE398" t="s">
        <v>147</v>
      </c>
      <c r="CF398" s="3">
        <v>45937</v>
      </c>
      <c r="CI398">
        <v>1</v>
      </c>
      <c r="CJ398">
        <v>1</v>
      </c>
      <c r="CK398">
        <v>21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"080068287799"</f>
        <v>080068287799</v>
      </c>
      <c r="F399" s="3">
        <v>45933</v>
      </c>
      <c r="G399">
        <v>202607</v>
      </c>
      <c r="H399" t="s">
        <v>79</v>
      </c>
      <c r="I399" t="s">
        <v>80</v>
      </c>
      <c r="J399" t="s">
        <v>91</v>
      </c>
      <c r="K399" t="s">
        <v>78</v>
      </c>
      <c r="L399" t="s">
        <v>206</v>
      </c>
      <c r="M399" t="s">
        <v>207</v>
      </c>
      <c r="N399" t="s">
        <v>1044</v>
      </c>
      <c r="O399" t="s">
        <v>82</v>
      </c>
      <c r="P399" t="str">
        <f>"4170062826                    "</f>
        <v xml:space="preserve">4170062826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44.69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4</v>
      </c>
      <c r="BJ399">
        <v>1.8</v>
      </c>
      <c r="BK399">
        <v>4</v>
      </c>
      <c r="BL399">
        <v>141.85</v>
      </c>
      <c r="BM399">
        <v>21.28</v>
      </c>
      <c r="BN399">
        <v>163.13</v>
      </c>
      <c r="BO399">
        <v>163.13</v>
      </c>
      <c r="BQ399" t="s">
        <v>1045</v>
      </c>
      <c r="BR399" t="s">
        <v>97</v>
      </c>
      <c r="BS399" s="3">
        <v>45936</v>
      </c>
      <c r="BT399" s="4">
        <v>0.50694444444444442</v>
      </c>
      <c r="BU399" t="s">
        <v>1046</v>
      </c>
      <c r="BV399" t="s">
        <v>90</v>
      </c>
      <c r="BW399" t="s">
        <v>347</v>
      </c>
      <c r="BX399" t="s">
        <v>1038</v>
      </c>
      <c r="BY399">
        <v>9044</v>
      </c>
      <c r="CA399" t="s">
        <v>461</v>
      </c>
      <c r="CC399" t="s">
        <v>207</v>
      </c>
      <c r="CD399">
        <v>7530</v>
      </c>
      <c r="CE399" t="s">
        <v>191</v>
      </c>
      <c r="CF399" s="3">
        <v>45937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"080068287807"</f>
        <v>080068287807</v>
      </c>
      <c r="F400" s="3">
        <v>45933</v>
      </c>
      <c r="G400">
        <v>202607</v>
      </c>
      <c r="H400" t="s">
        <v>79</v>
      </c>
      <c r="I400" t="s">
        <v>80</v>
      </c>
      <c r="J400" t="s">
        <v>91</v>
      </c>
      <c r="K400" t="s">
        <v>78</v>
      </c>
      <c r="L400" t="s">
        <v>168</v>
      </c>
      <c r="M400" t="s">
        <v>169</v>
      </c>
      <c r="N400" t="s">
        <v>1047</v>
      </c>
      <c r="O400" t="s">
        <v>82</v>
      </c>
      <c r="P400" t="str">
        <f>"4170062848                    "</f>
        <v xml:space="preserve">4170062848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22.36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70.959999999999994</v>
      </c>
      <c r="BM400">
        <v>10.64</v>
      </c>
      <c r="BN400">
        <v>81.599999999999994</v>
      </c>
      <c r="BO400">
        <v>81.599999999999994</v>
      </c>
      <c r="BQ400" t="s">
        <v>1048</v>
      </c>
      <c r="BR400" t="s">
        <v>97</v>
      </c>
      <c r="BS400" s="3">
        <v>45936</v>
      </c>
      <c r="BT400" s="4">
        <v>0.39930555555555558</v>
      </c>
      <c r="BU400" t="s">
        <v>1049</v>
      </c>
      <c r="BV400" t="s">
        <v>86</v>
      </c>
      <c r="BY400">
        <v>1200</v>
      </c>
      <c r="CC400" t="s">
        <v>169</v>
      </c>
      <c r="CD400" s="5" t="s">
        <v>190</v>
      </c>
      <c r="CE400" t="s">
        <v>147</v>
      </c>
      <c r="CF400" s="3">
        <v>45936</v>
      </c>
      <c r="CI400">
        <v>1</v>
      </c>
      <c r="CJ400">
        <v>1</v>
      </c>
      <c r="CK400">
        <v>21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"080068287817"</f>
        <v>080068287817</v>
      </c>
      <c r="F401" s="3">
        <v>45933</v>
      </c>
      <c r="G401">
        <v>202607</v>
      </c>
      <c r="H401" t="s">
        <v>79</v>
      </c>
      <c r="I401" t="s">
        <v>80</v>
      </c>
      <c r="J401" t="s">
        <v>91</v>
      </c>
      <c r="K401" t="s">
        <v>78</v>
      </c>
      <c r="L401" t="s">
        <v>121</v>
      </c>
      <c r="M401" t="s">
        <v>122</v>
      </c>
      <c r="N401" t="s">
        <v>159</v>
      </c>
      <c r="O401" t="s">
        <v>82</v>
      </c>
      <c r="P401" t="str">
        <f>"4170062632                    "</f>
        <v xml:space="preserve">4170062632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22.36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</v>
      </c>
      <c r="BJ401">
        <v>1.9</v>
      </c>
      <c r="BK401">
        <v>2</v>
      </c>
      <c r="BL401">
        <v>70.959999999999994</v>
      </c>
      <c r="BM401">
        <v>10.64</v>
      </c>
      <c r="BN401">
        <v>81.599999999999994</v>
      </c>
      <c r="BO401">
        <v>81.599999999999994</v>
      </c>
      <c r="BQ401" t="s">
        <v>160</v>
      </c>
      <c r="BR401" t="s">
        <v>97</v>
      </c>
      <c r="BS401" s="3">
        <v>45937</v>
      </c>
      <c r="BT401" s="4">
        <v>0.50347222222222221</v>
      </c>
      <c r="BU401" t="s">
        <v>1050</v>
      </c>
      <c r="BV401" t="s">
        <v>90</v>
      </c>
      <c r="BW401" t="s">
        <v>136</v>
      </c>
      <c r="BX401" t="s">
        <v>858</v>
      </c>
      <c r="BY401">
        <v>9600</v>
      </c>
      <c r="CA401" t="s">
        <v>742</v>
      </c>
      <c r="CC401" t="s">
        <v>122</v>
      </c>
      <c r="CD401">
        <v>4000</v>
      </c>
      <c r="CE401" t="s">
        <v>191</v>
      </c>
      <c r="CF401" s="3">
        <v>45938</v>
      </c>
      <c r="CI401">
        <v>1</v>
      </c>
      <c r="CJ401">
        <v>2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"080068287834"</f>
        <v>080068287834</v>
      </c>
      <c r="F402" s="3">
        <v>45933</v>
      </c>
      <c r="G402">
        <v>202607</v>
      </c>
      <c r="H402" t="s">
        <v>79</v>
      </c>
      <c r="I402" t="s">
        <v>80</v>
      </c>
      <c r="J402" t="s">
        <v>91</v>
      </c>
      <c r="K402" t="s">
        <v>78</v>
      </c>
      <c r="L402" t="s">
        <v>206</v>
      </c>
      <c r="M402" t="s">
        <v>207</v>
      </c>
      <c r="N402" t="s">
        <v>734</v>
      </c>
      <c r="O402" t="s">
        <v>82</v>
      </c>
      <c r="P402" t="str">
        <f>"4170062868                    "</f>
        <v xml:space="preserve">4170062868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22.36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70.959999999999994</v>
      </c>
      <c r="BM402">
        <v>10.64</v>
      </c>
      <c r="BN402">
        <v>81.599999999999994</v>
      </c>
      <c r="BO402">
        <v>81.599999999999994</v>
      </c>
      <c r="BQ402" t="s">
        <v>735</v>
      </c>
      <c r="BR402" t="s">
        <v>97</v>
      </c>
      <c r="BS402" s="3">
        <v>45936</v>
      </c>
      <c r="BT402" s="4">
        <v>0.4</v>
      </c>
      <c r="BU402" t="s">
        <v>736</v>
      </c>
      <c r="BV402" t="s">
        <v>86</v>
      </c>
      <c r="BY402">
        <v>1200</v>
      </c>
      <c r="CA402" t="s">
        <v>480</v>
      </c>
      <c r="CC402" t="s">
        <v>207</v>
      </c>
      <c r="CD402">
        <v>7480</v>
      </c>
      <c r="CE402" t="s">
        <v>147</v>
      </c>
      <c r="CF402" s="3">
        <v>45937</v>
      </c>
      <c r="CI402">
        <v>1</v>
      </c>
      <c r="CJ402">
        <v>1</v>
      </c>
      <c r="CK402">
        <v>21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"080068287865"</f>
        <v>080068287865</v>
      </c>
      <c r="F403" s="3">
        <v>45933</v>
      </c>
      <c r="G403">
        <v>202607</v>
      </c>
      <c r="H403" t="s">
        <v>79</v>
      </c>
      <c r="I403" t="s">
        <v>80</v>
      </c>
      <c r="J403" t="s">
        <v>91</v>
      </c>
      <c r="K403" t="s">
        <v>78</v>
      </c>
      <c r="L403" t="s">
        <v>206</v>
      </c>
      <c r="M403" t="s">
        <v>207</v>
      </c>
      <c r="N403" t="s">
        <v>698</v>
      </c>
      <c r="O403" t="s">
        <v>82</v>
      </c>
      <c r="P403" t="str">
        <f>"4170062790                    "</f>
        <v xml:space="preserve">4170062790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22.36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1.1000000000000001</v>
      </c>
      <c r="BK403">
        <v>1.5</v>
      </c>
      <c r="BL403">
        <v>70.959999999999994</v>
      </c>
      <c r="BM403">
        <v>10.64</v>
      </c>
      <c r="BN403">
        <v>81.599999999999994</v>
      </c>
      <c r="BO403">
        <v>81.599999999999994</v>
      </c>
      <c r="BQ403" t="s">
        <v>699</v>
      </c>
      <c r="BR403" t="s">
        <v>97</v>
      </c>
      <c r="BS403" s="3">
        <v>45936</v>
      </c>
      <c r="BT403" s="4">
        <v>0.4152777777777778</v>
      </c>
      <c r="BU403" t="s">
        <v>700</v>
      </c>
      <c r="BV403" t="s">
        <v>86</v>
      </c>
      <c r="BY403">
        <v>5510</v>
      </c>
      <c r="CA403" t="s">
        <v>375</v>
      </c>
      <c r="CC403" t="s">
        <v>207</v>
      </c>
      <c r="CD403">
        <v>7800</v>
      </c>
      <c r="CE403" t="s">
        <v>191</v>
      </c>
      <c r="CF403" s="3">
        <v>45937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"080068287906"</f>
        <v>080068287906</v>
      </c>
      <c r="F404" s="3">
        <v>45933</v>
      </c>
      <c r="G404">
        <v>202607</v>
      </c>
      <c r="H404" t="s">
        <v>79</v>
      </c>
      <c r="I404" t="s">
        <v>80</v>
      </c>
      <c r="J404" t="s">
        <v>91</v>
      </c>
      <c r="K404" t="s">
        <v>78</v>
      </c>
      <c r="L404" t="s">
        <v>121</v>
      </c>
      <c r="M404" t="s">
        <v>122</v>
      </c>
      <c r="N404" t="s">
        <v>707</v>
      </c>
      <c r="O404" t="s">
        <v>82</v>
      </c>
      <c r="P404" t="str">
        <f>"4170062851                    "</f>
        <v xml:space="preserve">4170062851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22.36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0.9</v>
      </c>
      <c r="BK404">
        <v>1</v>
      </c>
      <c r="BL404">
        <v>70.959999999999994</v>
      </c>
      <c r="BM404">
        <v>10.64</v>
      </c>
      <c r="BN404">
        <v>81.599999999999994</v>
      </c>
      <c r="BO404">
        <v>81.599999999999994</v>
      </c>
      <c r="BQ404" t="s">
        <v>708</v>
      </c>
      <c r="BR404" t="s">
        <v>97</v>
      </c>
      <c r="BS404" s="3">
        <v>45936</v>
      </c>
      <c r="BT404" s="4">
        <v>0.39930555555555558</v>
      </c>
      <c r="BU404" t="s">
        <v>1051</v>
      </c>
      <c r="BV404" t="s">
        <v>86</v>
      </c>
      <c r="BY404">
        <v>4275</v>
      </c>
      <c r="CA404" t="s">
        <v>651</v>
      </c>
      <c r="CC404" t="s">
        <v>122</v>
      </c>
      <c r="CD404">
        <v>4001</v>
      </c>
      <c r="CE404" t="s">
        <v>191</v>
      </c>
      <c r="CF404" s="3">
        <v>45936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"080068287939"</f>
        <v>080068287939</v>
      </c>
      <c r="F405" s="3">
        <v>45933</v>
      </c>
      <c r="G405">
        <v>202607</v>
      </c>
      <c r="H405" t="s">
        <v>79</v>
      </c>
      <c r="I405" t="s">
        <v>80</v>
      </c>
      <c r="J405" t="s">
        <v>91</v>
      </c>
      <c r="K405" t="s">
        <v>78</v>
      </c>
      <c r="L405" t="s">
        <v>271</v>
      </c>
      <c r="M405" t="s">
        <v>272</v>
      </c>
      <c r="N405" t="s">
        <v>1052</v>
      </c>
      <c r="O405" t="s">
        <v>82</v>
      </c>
      <c r="P405" t="str">
        <f>"4170062885                    "</f>
        <v xml:space="preserve">4170062885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17.46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55.42</v>
      </c>
      <c r="BM405">
        <v>8.31</v>
      </c>
      <c r="BN405">
        <v>63.73</v>
      </c>
      <c r="BO405">
        <v>63.73</v>
      </c>
      <c r="BQ405" t="s">
        <v>1053</v>
      </c>
      <c r="BR405" t="s">
        <v>97</v>
      </c>
      <c r="BS405" s="3">
        <v>45936</v>
      </c>
      <c r="BT405" s="4">
        <v>0.33333333333333331</v>
      </c>
      <c r="BU405" t="s">
        <v>1054</v>
      </c>
      <c r="BV405" t="s">
        <v>86</v>
      </c>
      <c r="BY405">
        <v>1200</v>
      </c>
      <c r="CA405" t="s">
        <v>280</v>
      </c>
      <c r="CC405" t="s">
        <v>272</v>
      </c>
      <c r="CD405">
        <v>1429</v>
      </c>
      <c r="CE405" t="s">
        <v>147</v>
      </c>
      <c r="CF405" s="3">
        <v>45936</v>
      </c>
      <c r="CI405">
        <v>1</v>
      </c>
      <c r="CJ405">
        <v>1</v>
      </c>
      <c r="CK405">
        <v>22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"080068287943"</f>
        <v>080068287943</v>
      </c>
      <c r="F406" s="3">
        <v>45933</v>
      </c>
      <c r="G406">
        <v>202607</v>
      </c>
      <c r="H406" t="s">
        <v>79</v>
      </c>
      <c r="I406" t="s">
        <v>80</v>
      </c>
      <c r="J406" t="s">
        <v>91</v>
      </c>
      <c r="K406" t="s">
        <v>78</v>
      </c>
      <c r="L406" t="s">
        <v>206</v>
      </c>
      <c r="M406" t="s">
        <v>207</v>
      </c>
      <c r="N406" t="s">
        <v>477</v>
      </c>
      <c r="O406" t="s">
        <v>82</v>
      </c>
      <c r="P406" t="str">
        <f>"4170062825                    "</f>
        <v xml:space="preserve">4170062825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22.36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1.7</v>
      </c>
      <c r="BK406">
        <v>2</v>
      </c>
      <c r="BL406">
        <v>70.959999999999994</v>
      </c>
      <c r="BM406">
        <v>10.64</v>
      </c>
      <c r="BN406">
        <v>81.599999999999994</v>
      </c>
      <c r="BO406">
        <v>81.599999999999994</v>
      </c>
      <c r="BQ406" t="s">
        <v>478</v>
      </c>
      <c r="BR406" t="s">
        <v>97</v>
      </c>
      <c r="BS406" s="3">
        <v>45936</v>
      </c>
      <c r="BT406" s="4">
        <v>0.34861111111111109</v>
      </c>
      <c r="BU406" t="s">
        <v>1055</v>
      </c>
      <c r="BV406" t="s">
        <v>86</v>
      </c>
      <c r="BY406">
        <v>8550</v>
      </c>
      <c r="CA406" t="s">
        <v>480</v>
      </c>
      <c r="CC406" t="s">
        <v>207</v>
      </c>
      <c r="CD406">
        <v>7480</v>
      </c>
      <c r="CE406" t="s">
        <v>191</v>
      </c>
      <c r="CF406" s="3">
        <v>45937</v>
      </c>
      <c r="CI406">
        <v>1</v>
      </c>
      <c r="CJ406">
        <v>1</v>
      </c>
      <c r="CK406">
        <v>21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"080068288028"</f>
        <v>080068288028</v>
      </c>
      <c r="F407" s="3">
        <v>45933</v>
      </c>
      <c r="G407">
        <v>202607</v>
      </c>
      <c r="H407" t="s">
        <v>79</v>
      </c>
      <c r="I407" t="s">
        <v>80</v>
      </c>
      <c r="J407" t="s">
        <v>91</v>
      </c>
      <c r="K407" t="s">
        <v>78</v>
      </c>
      <c r="L407" t="s">
        <v>206</v>
      </c>
      <c r="M407" t="s">
        <v>207</v>
      </c>
      <c r="N407" t="s">
        <v>556</v>
      </c>
      <c r="O407" t="s">
        <v>95</v>
      </c>
      <c r="P407" t="str">
        <f>"4170062824                    "</f>
        <v xml:space="preserve">4170062824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52.15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2</v>
      </c>
      <c r="BI407">
        <v>20</v>
      </c>
      <c r="BJ407">
        <v>5.5</v>
      </c>
      <c r="BK407">
        <v>20</v>
      </c>
      <c r="BL407">
        <v>171.4</v>
      </c>
      <c r="BM407">
        <v>25.71</v>
      </c>
      <c r="BN407">
        <v>197.11</v>
      </c>
      <c r="BO407">
        <v>197.11</v>
      </c>
      <c r="BQ407" t="s">
        <v>557</v>
      </c>
      <c r="BR407" t="s">
        <v>97</v>
      </c>
      <c r="BS407" s="3">
        <v>45936</v>
      </c>
      <c r="BT407" s="4">
        <v>0.43333333333333335</v>
      </c>
      <c r="BU407" t="s">
        <v>1056</v>
      </c>
      <c r="BV407" t="s">
        <v>86</v>
      </c>
      <c r="BY407">
        <v>27739</v>
      </c>
      <c r="CA407" t="s">
        <v>569</v>
      </c>
      <c r="CC407" t="s">
        <v>207</v>
      </c>
      <c r="CD407">
        <v>7945</v>
      </c>
      <c r="CE407" t="s">
        <v>191</v>
      </c>
      <c r="CF407" s="3">
        <v>45937</v>
      </c>
      <c r="CI407">
        <v>3</v>
      </c>
      <c r="CJ407">
        <v>1</v>
      </c>
      <c r="CK407">
        <v>41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"080068288050"</f>
        <v>080068288050</v>
      </c>
      <c r="F408" s="3">
        <v>45933</v>
      </c>
      <c r="G408">
        <v>202607</v>
      </c>
      <c r="H408" t="s">
        <v>79</v>
      </c>
      <c r="I408" t="s">
        <v>80</v>
      </c>
      <c r="J408" t="s">
        <v>91</v>
      </c>
      <c r="K408" t="s">
        <v>78</v>
      </c>
      <c r="L408" t="s">
        <v>168</v>
      </c>
      <c r="M408" t="s">
        <v>169</v>
      </c>
      <c r="N408" t="s">
        <v>1057</v>
      </c>
      <c r="O408" t="s">
        <v>82</v>
      </c>
      <c r="P408" t="str">
        <f>"4170062893                    "</f>
        <v xml:space="preserve">4170062893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22.36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70.959999999999994</v>
      </c>
      <c r="BM408">
        <v>10.64</v>
      </c>
      <c r="BN408">
        <v>81.599999999999994</v>
      </c>
      <c r="BO408">
        <v>81.599999999999994</v>
      </c>
      <c r="BQ408" t="s">
        <v>1058</v>
      </c>
      <c r="BR408" t="s">
        <v>97</v>
      </c>
      <c r="BS408" s="3">
        <v>45936</v>
      </c>
      <c r="BT408" s="4">
        <v>0.41180555555555554</v>
      </c>
      <c r="BU408" t="s">
        <v>1059</v>
      </c>
      <c r="BV408" t="s">
        <v>86</v>
      </c>
      <c r="BY408">
        <v>1200</v>
      </c>
      <c r="CA408" t="s">
        <v>1060</v>
      </c>
      <c r="CC408" t="s">
        <v>169</v>
      </c>
      <c r="CD408" s="5" t="s">
        <v>1061</v>
      </c>
      <c r="CE408" t="s">
        <v>147</v>
      </c>
      <c r="CF408" s="3">
        <v>45936</v>
      </c>
      <c r="CI408">
        <v>1</v>
      </c>
      <c r="CJ408">
        <v>1</v>
      </c>
      <c r="CK408">
        <v>21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"080068288070"</f>
        <v>080068288070</v>
      </c>
      <c r="F409" s="3">
        <v>45933</v>
      </c>
      <c r="G409">
        <v>202607</v>
      </c>
      <c r="H409" t="s">
        <v>79</v>
      </c>
      <c r="I409" t="s">
        <v>80</v>
      </c>
      <c r="J409" t="s">
        <v>91</v>
      </c>
      <c r="K409" t="s">
        <v>78</v>
      </c>
      <c r="L409" t="s">
        <v>206</v>
      </c>
      <c r="M409" t="s">
        <v>207</v>
      </c>
      <c r="N409" t="s">
        <v>1062</v>
      </c>
      <c r="O409" t="s">
        <v>82</v>
      </c>
      <c r="P409" t="str">
        <f>"4170062854                    "</f>
        <v xml:space="preserve">4170062854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22.36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70.959999999999994</v>
      </c>
      <c r="BM409">
        <v>10.64</v>
      </c>
      <c r="BN409">
        <v>81.599999999999994</v>
      </c>
      <c r="BO409">
        <v>81.599999999999994</v>
      </c>
      <c r="BQ409" t="s">
        <v>1063</v>
      </c>
      <c r="BR409" t="s">
        <v>97</v>
      </c>
      <c r="BS409" s="3">
        <v>45936</v>
      </c>
      <c r="BT409" s="4">
        <v>0.37708333333333333</v>
      </c>
      <c r="BU409" t="s">
        <v>1064</v>
      </c>
      <c r="BV409" t="s">
        <v>86</v>
      </c>
      <c r="BY409">
        <v>1200</v>
      </c>
      <c r="CA409" t="s">
        <v>211</v>
      </c>
      <c r="CC409" t="s">
        <v>207</v>
      </c>
      <c r="CD409">
        <v>8001</v>
      </c>
      <c r="CE409" t="s">
        <v>147</v>
      </c>
      <c r="CF409" s="3">
        <v>45937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"080068288088"</f>
        <v>080068288088</v>
      </c>
      <c r="F410" s="3">
        <v>45933</v>
      </c>
      <c r="G410">
        <v>202607</v>
      </c>
      <c r="H410" t="s">
        <v>79</v>
      </c>
      <c r="I410" t="s">
        <v>80</v>
      </c>
      <c r="J410" t="s">
        <v>91</v>
      </c>
      <c r="K410" t="s">
        <v>78</v>
      </c>
      <c r="L410" t="s">
        <v>92</v>
      </c>
      <c r="M410" t="s">
        <v>93</v>
      </c>
      <c r="N410" t="s">
        <v>597</v>
      </c>
      <c r="O410" t="s">
        <v>82</v>
      </c>
      <c r="P410" t="str">
        <f>"4170062842                    "</f>
        <v xml:space="preserve">4170062842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22.36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70.959999999999994</v>
      </c>
      <c r="BM410">
        <v>10.64</v>
      </c>
      <c r="BN410">
        <v>81.599999999999994</v>
      </c>
      <c r="BO410">
        <v>81.599999999999994</v>
      </c>
      <c r="BQ410" t="s">
        <v>598</v>
      </c>
      <c r="BR410" t="s">
        <v>97</v>
      </c>
      <c r="BS410" s="3">
        <v>45936</v>
      </c>
      <c r="BT410" s="4">
        <v>0.4465277777777778</v>
      </c>
      <c r="BU410" t="s">
        <v>1065</v>
      </c>
      <c r="BV410" t="s">
        <v>86</v>
      </c>
      <c r="BY410">
        <v>1200</v>
      </c>
      <c r="CA410" t="s">
        <v>600</v>
      </c>
      <c r="CC410" t="s">
        <v>93</v>
      </c>
      <c r="CD410">
        <v>3201</v>
      </c>
      <c r="CE410" t="s">
        <v>147</v>
      </c>
      <c r="CF410" s="3">
        <v>45936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"080068288116"</f>
        <v>080068288116</v>
      </c>
      <c r="F411" s="3">
        <v>45933</v>
      </c>
      <c r="G411">
        <v>202607</v>
      </c>
      <c r="H411" t="s">
        <v>79</v>
      </c>
      <c r="I411" t="s">
        <v>80</v>
      </c>
      <c r="J411" t="s">
        <v>91</v>
      </c>
      <c r="K411" t="s">
        <v>78</v>
      </c>
      <c r="L411" t="s">
        <v>233</v>
      </c>
      <c r="M411" t="s">
        <v>234</v>
      </c>
      <c r="N411" t="s">
        <v>1066</v>
      </c>
      <c r="O411" t="s">
        <v>82</v>
      </c>
      <c r="P411" t="str">
        <f>"4170062785                    "</f>
        <v xml:space="preserve">4170062785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22.36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70.959999999999994</v>
      </c>
      <c r="BM411">
        <v>10.64</v>
      </c>
      <c r="BN411">
        <v>81.599999999999994</v>
      </c>
      <c r="BO411">
        <v>81.599999999999994</v>
      </c>
      <c r="BQ411" t="s">
        <v>1067</v>
      </c>
      <c r="BR411" t="s">
        <v>97</v>
      </c>
      <c r="BS411" s="3">
        <v>45936</v>
      </c>
      <c r="BT411" s="4">
        <v>0.38194444444444442</v>
      </c>
      <c r="BU411" t="s">
        <v>1068</v>
      </c>
      <c r="BV411" t="s">
        <v>86</v>
      </c>
      <c r="BY411">
        <v>1200</v>
      </c>
      <c r="CC411" t="s">
        <v>234</v>
      </c>
      <c r="CD411" s="5" t="s">
        <v>238</v>
      </c>
      <c r="CE411" t="s">
        <v>147</v>
      </c>
      <c r="CF411" s="3">
        <v>45936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"080068288223"</f>
        <v>080068288223</v>
      </c>
      <c r="F412" s="3">
        <v>45933</v>
      </c>
      <c r="G412">
        <v>202607</v>
      </c>
      <c r="H412" t="s">
        <v>79</v>
      </c>
      <c r="I412" t="s">
        <v>80</v>
      </c>
      <c r="J412" t="s">
        <v>91</v>
      </c>
      <c r="K412" t="s">
        <v>78</v>
      </c>
      <c r="L412" t="s">
        <v>114</v>
      </c>
      <c r="M412" t="s">
        <v>115</v>
      </c>
      <c r="N412" t="s">
        <v>1014</v>
      </c>
      <c r="O412" t="s">
        <v>82</v>
      </c>
      <c r="P412" t="str">
        <f>"4170062817                    "</f>
        <v xml:space="preserve">4170062817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72.62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4</v>
      </c>
      <c r="BJ412">
        <v>6.3</v>
      </c>
      <c r="BK412">
        <v>6.5</v>
      </c>
      <c r="BL412">
        <v>230.48</v>
      </c>
      <c r="BM412">
        <v>34.57</v>
      </c>
      <c r="BN412">
        <v>265.05</v>
      </c>
      <c r="BO412">
        <v>265.05</v>
      </c>
      <c r="BQ412" t="s">
        <v>1015</v>
      </c>
      <c r="BR412" t="s">
        <v>97</v>
      </c>
      <c r="BS412" s="3">
        <v>45936</v>
      </c>
      <c r="BT412" s="4">
        <v>0.61111111111111116</v>
      </c>
      <c r="BU412" t="s">
        <v>1016</v>
      </c>
      <c r="BV412" t="s">
        <v>90</v>
      </c>
      <c r="BY412">
        <v>31680</v>
      </c>
      <c r="CA412" t="s">
        <v>1017</v>
      </c>
      <c r="CC412" t="s">
        <v>115</v>
      </c>
      <c r="CD412">
        <v>5200</v>
      </c>
      <c r="CE412" t="s">
        <v>107</v>
      </c>
      <c r="CF412" s="3">
        <v>45936</v>
      </c>
      <c r="CI412">
        <v>1</v>
      </c>
      <c r="CJ412">
        <v>1</v>
      </c>
      <c r="CK412">
        <v>21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"080068288247"</f>
        <v>080068288247</v>
      </c>
      <c r="F413" s="3">
        <v>45933</v>
      </c>
      <c r="G413">
        <v>202607</v>
      </c>
      <c r="H413" t="s">
        <v>79</v>
      </c>
      <c r="I413" t="s">
        <v>80</v>
      </c>
      <c r="J413" t="s">
        <v>91</v>
      </c>
      <c r="K413" t="s">
        <v>78</v>
      </c>
      <c r="L413" t="s">
        <v>108</v>
      </c>
      <c r="M413" t="s">
        <v>109</v>
      </c>
      <c r="N413" t="s">
        <v>515</v>
      </c>
      <c r="O413" t="s">
        <v>82</v>
      </c>
      <c r="P413" t="str">
        <f>"4170062897                    "</f>
        <v xml:space="preserve">4170062897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22.36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70.959999999999994</v>
      </c>
      <c r="BM413">
        <v>10.64</v>
      </c>
      <c r="BN413">
        <v>81.599999999999994</v>
      </c>
      <c r="BO413">
        <v>81.599999999999994</v>
      </c>
      <c r="BQ413" t="s">
        <v>516</v>
      </c>
      <c r="BR413" t="s">
        <v>97</v>
      </c>
      <c r="BS413" s="3">
        <v>45936</v>
      </c>
      <c r="BT413" s="4">
        <v>0.3888888888888889</v>
      </c>
      <c r="BU413" t="s">
        <v>1069</v>
      </c>
      <c r="BV413" t="s">
        <v>86</v>
      </c>
      <c r="BY413">
        <v>1200</v>
      </c>
      <c r="CA413" t="s">
        <v>1070</v>
      </c>
      <c r="CC413" t="s">
        <v>109</v>
      </c>
      <c r="CD413">
        <v>6001</v>
      </c>
      <c r="CE413" t="s">
        <v>147</v>
      </c>
      <c r="CF413" s="3">
        <v>45936</v>
      </c>
      <c r="CI413">
        <v>1</v>
      </c>
      <c r="CJ413">
        <v>1</v>
      </c>
      <c r="CK413">
        <v>21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"080068288629"</f>
        <v>080068288629</v>
      </c>
      <c r="F414" s="3">
        <v>45933</v>
      </c>
      <c r="G414">
        <v>202607</v>
      </c>
      <c r="H414" t="s">
        <v>79</v>
      </c>
      <c r="I414" t="s">
        <v>80</v>
      </c>
      <c r="J414" t="s">
        <v>91</v>
      </c>
      <c r="K414" t="s">
        <v>78</v>
      </c>
      <c r="L414" t="s">
        <v>642</v>
      </c>
      <c r="M414" t="s">
        <v>643</v>
      </c>
      <c r="N414" t="s">
        <v>644</v>
      </c>
      <c r="O414" t="s">
        <v>82</v>
      </c>
      <c r="P414" t="str">
        <f>"4170062856                    "</f>
        <v xml:space="preserve">4170062856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43.31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137.47</v>
      </c>
      <c r="BM414">
        <v>20.62</v>
      </c>
      <c r="BN414">
        <v>158.09</v>
      </c>
      <c r="BO414">
        <v>158.09</v>
      </c>
      <c r="BQ414" t="s">
        <v>645</v>
      </c>
      <c r="BR414" t="s">
        <v>97</v>
      </c>
      <c r="BS414" s="3">
        <v>45936</v>
      </c>
      <c r="BT414" s="4">
        <v>0.67083333333333328</v>
      </c>
      <c r="BU414" t="s">
        <v>1071</v>
      </c>
      <c r="BV414" t="s">
        <v>86</v>
      </c>
      <c r="BY414">
        <v>1200</v>
      </c>
      <c r="CC414" t="s">
        <v>643</v>
      </c>
      <c r="CD414">
        <v>5850</v>
      </c>
      <c r="CE414" t="s">
        <v>147</v>
      </c>
      <c r="CF414" s="3">
        <v>45938</v>
      </c>
      <c r="CI414">
        <v>2</v>
      </c>
      <c r="CJ414">
        <v>1</v>
      </c>
      <c r="CK414">
        <v>23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"080068289532"</f>
        <v>080068289532</v>
      </c>
      <c r="F415" s="3">
        <v>45933</v>
      </c>
      <c r="G415">
        <v>202607</v>
      </c>
      <c r="H415" t="s">
        <v>79</v>
      </c>
      <c r="I415" t="s">
        <v>80</v>
      </c>
      <c r="J415" t="s">
        <v>91</v>
      </c>
      <c r="K415" t="s">
        <v>78</v>
      </c>
      <c r="L415" t="s">
        <v>406</v>
      </c>
      <c r="M415" t="s">
        <v>407</v>
      </c>
      <c r="N415" t="s">
        <v>797</v>
      </c>
      <c r="O415" t="s">
        <v>82</v>
      </c>
      <c r="P415" t="str">
        <f>"4170062898                    "</f>
        <v xml:space="preserve">4170062898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31.44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1.7</v>
      </c>
      <c r="BK415">
        <v>2</v>
      </c>
      <c r="BL415">
        <v>99.79</v>
      </c>
      <c r="BM415">
        <v>14.97</v>
      </c>
      <c r="BN415">
        <v>114.76</v>
      </c>
      <c r="BO415">
        <v>114.76</v>
      </c>
      <c r="BQ415" t="s">
        <v>798</v>
      </c>
      <c r="BR415" t="s">
        <v>97</v>
      </c>
      <c r="BS415" s="3">
        <v>45936</v>
      </c>
      <c r="BT415" s="4">
        <v>0.3888888888888889</v>
      </c>
      <c r="BU415" t="s">
        <v>1072</v>
      </c>
      <c r="BV415" t="s">
        <v>86</v>
      </c>
      <c r="BY415">
        <v>8512</v>
      </c>
      <c r="CA415" t="s">
        <v>800</v>
      </c>
      <c r="CC415" t="s">
        <v>407</v>
      </c>
      <c r="CD415">
        <v>1438</v>
      </c>
      <c r="CE415" t="s">
        <v>191</v>
      </c>
      <c r="CF415" s="3">
        <v>45937</v>
      </c>
      <c r="CI415">
        <v>1</v>
      </c>
      <c r="CJ415">
        <v>1</v>
      </c>
      <c r="CK415">
        <v>24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"080068289583"</f>
        <v>080068289583</v>
      </c>
      <c r="F416" s="3">
        <v>45933</v>
      </c>
      <c r="G416">
        <v>202607</v>
      </c>
      <c r="H416" t="s">
        <v>79</v>
      </c>
      <c r="I416" t="s">
        <v>80</v>
      </c>
      <c r="J416" t="s">
        <v>91</v>
      </c>
      <c r="K416" t="s">
        <v>78</v>
      </c>
      <c r="L416" t="s">
        <v>114</v>
      </c>
      <c r="M416" t="s">
        <v>115</v>
      </c>
      <c r="N416" t="s">
        <v>1073</v>
      </c>
      <c r="O416" t="s">
        <v>82</v>
      </c>
      <c r="P416" t="str">
        <f>"4170062820                    "</f>
        <v xml:space="preserve">4170062820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22.36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1.1000000000000001</v>
      </c>
      <c r="BK416">
        <v>1.5</v>
      </c>
      <c r="BL416">
        <v>70.959999999999994</v>
      </c>
      <c r="BM416">
        <v>10.64</v>
      </c>
      <c r="BN416">
        <v>81.599999999999994</v>
      </c>
      <c r="BO416">
        <v>81.599999999999994</v>
      </c>
      <c r="BQ416" t="s">
        <v>1074</v>
      </c>
      <c r="BR416" t="s">
        <v>97</v>
      </c>
      <c r="BS416" s="3">
        <v>45936</v>
      </c>
      <c r="BT416" s="4">
        <v>0.47083333333333333</v>
      </c>
      <c r="BU416" t="s">
        <v>1075</v>
      </c>
      <c r="BV416" t="s">
        <v>86</v>
      </c>
      <c r="BY416">
        <v>5510</v>
      </c>
      <c r="CA416" t="s">
        <v>760</v>
      </c>
      <c r="CC416" t="s">
        <v>115</v>
      </c>
      <c r="CD416">
        <v>5201</v>
      </c>
      <c r="CE416" t="s">
        <v>191</v>
      </c>
      <c r="CF416" s="3">
        <v>45937</v>
      </c>
      <c r="CI416">
        <v>1</v>
      </c>
      <c r="CJ416">
        <v>1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"080068290348"</f>
        <v>080068290348</v>
      </c>
      <c r="F417" s="3">
        <v>45933</v>
      </c>
      <c r="G417">
        <v>202607</v>
      </c>
      <c r="H417" t="s">
        <v>79</v>
      </c>
      <c r="I417" t="s">
        <v>80</v>
      </c>
      <c r="J417" t="s">
        <v>91</v>
      </c>
      <c r="K417" t="s">
        <v>78</v>
      </c>
      <c r="L417" t="s">
        <v>79</v>
      </c>
      <c r="M417" t="s">
        <v>80</v>
      </c>
      <c r="N417" t="s">
        <v>1076</v>
      </c>
      <c r="O417" t="s">
        <v>95</v>
      </c>
      <c r="P417" t="str">
        <f>"4170062832                    "</f>
        <v xml:space="preserve">4170062832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57.74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19</v>
      </c>
      <c r="BJ417">
        <v>39.200000000000003</v>
      </c>
      <c r="BK417">
        <v>40</v>
      </c>
      <c r="BL417">
        <v>189.13</v>
      </c>
      <c r="BM417">
        <v>28.37</v>
      </c>
      <c r="BN417">
        <v>217.5</v>
      </c>
      <c r="BO417">
        <v>217.5</v>
      </c>
      <c r="BQ417" t="s">
        <v>1077</v>
      </c>
      <c r="BR417" t="s">
        <v>97</v>
      </c>
      <c r="BS417" s="3">
        <v>45936</v>
      </c>
      <c r="BT417" s="4">
        <v>0.33680555555555558</v>
      </c>
      <c r="BU417" t="s">
        <v>1078</v>
      </c>
      <c r="BV417" t="s">
        <v>86</v>
      </c>
      <c r="BY417">
        <v>195960</v>
      </c>
      <c r="CA417" t="s">
        <v>166</v>
      </c>
      <c r="CC417" t="s">
        <v>80</v>
      </c>
      <c r="CD417">
        <v>1600</v>
      </c>
      <c r="CE417" t="s">
        <v>191</v>
      </c>
      <c r="CF417" s="3">
        <v>45937</v>
      </c>
      <c r="CI417">
        <v>1</v>
      </c>
      <c r="CJ417">
        <v>1</v>
      </c>
      <c r="CK417">
        <v>42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"080068290352"</f>
        <v>080068290352</v>
      </c>
      <c r="F418" s="3">
        <v>45933</v>
      </c>
      <c r="G418">
        <v>202607</v>
      </c>
      <c r="H418" t="s">
        <v>79</v>
      </c>
      <c r="I418" t="s">
        <v>80</v>
      </c>
      <c r="J418" t="s">
        <v>91</v>
      </c>
      <c r="K418" t="s">
        <v>78</v>
      </c>
      <c r="L418" t="s">
        <v>1079</v>
      </c>
      <c r="M418" t="s">
        <v>1080</v>
      </c>
      <c r="N418" t="s">
        <v>1081</v>
      </c>
      <c r="O418" t="s">
        <v>82</v>
      </c>
      <c r="P418" t="str">
        <f>"4170062810                    "</f>
        <v xml:space="preserve">4170062810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43.31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16.739999999999998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154.21</v>
      </c>
      <c r="BM418">
        <v>23.13</v>
      </c>
      <c r="BN418">
        <v>177.34</v>
      </c>
      <c r="BO418">
        <v>177.34</v>
      </c>
      <c r="BQ418" t="s">
        <v>1082</v>
      </c>
      <c r="BR418" t="s">
        <v>97</v>
      </c>
      <c r="BS418" s="3">
        <v>45936</v>
      </c>
      <c r="BT418" s="4">
        <v>0.49930555555555556</v>
      </c>
      <c r="BU418" t="s">
        <v>1083</v>
      </c>
      <c r="BV418" t="s">
        <v>86</v>
      </c>
      <c r="BY418">
        <v>1200</v>
      </c>
      <c r="BZ418" t="s">
        <v>30</v>
      </c>
      <c r="CA418" t="s">
        <v>1084</v>
      </c>
      <c r="CC418" t="s">
        <v>1080</v>
      </c>
      <c r="CD418">
        <v>3875</v>
      </c>
      <c r="CE418" t="s">
        <v>1085</v>
      </c>
      <c r="CF418" s="3">
        <v>45936</v>
      </c>
      <c r="CI418">
        <v>2</v>
      </c>
      <c r="CJ418">
        <v>1</v>
      </c>
      <c r="CK418">
        <v>23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"080068290366"</f>
        <v>080068290366</v>
      </c>
      <c r="F419" s="3">
        <v>45933</v>
      </c>
      <c r="G419">
        <v>202607</v>
      </c>
      <c r="H419" t="s">
        <v>79</v>
      </c>
      <c r="I419" t="s">
        <v>80</v>
      </c>
      <c r="J419" t="s">
        <v>91</v>
      </c>
      <c r="K419" t="s">
        <v>78</v>
      </c>
      <c r="L419" t="s">
        <v>206</v>
      </c>
      <c r="M419" t="s">
        <v>207</v>
      </c>
      <c r="N419" t="s">
        <v>656</v>
      </c>
      <c r="O419" t="s">
        <v>82</v>
      </c>
      <c r="P419" t="str">
        <f>"4170062876                    "</f>
        <v xml:space="preserve">4170062876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22.36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70.959999999999994</v>
      </c>
      <c r="BM419">
        <v>10.64</v>
      </c>
      <c r="BN419">
        <v>81.599999999999994</v>
      </c>
      <c r="BO419">
        <v>81.599999999999994</v>
      </c>
      <c r="BQ419" t="s">
        <v>657</v>
      </c>
      <c r="BR419" t="s">
        <v>97</v>
      </c>
      <c r="BS419" s="3">
        <v>45936</v>
      </c>
      <c r="BT419" s="4">
        <v>0.41805555555555557</v>
      </c>
      <c r="BU419" t="s">
        <v>658</v>
      </c>
      <c r="BV419" t="s">
        <v>86</v>
      </c>
      <c r="BY419">
        <v>1200</v>
      </c>
      <c r="CA419" t="s">
        <v>211</v>
      </c>
      <c r="CC419" t="s">
        <v>207</v>
      </c>
      <c r="CD419">
        <v>7441</v>
      </c>
      <c r="CE419" t="s">
        <v>1085</v>
      </c>
      <c r="CF419" s="3">
        <v>45937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"080068290369"</f>
        <v>080068290369</v>
      </c>
      <c r="F420" s="3">
        <v>45933</v>
      </c>
      <c r="G420">
        <v>202607</v>
      </c>
      <c r="H420" t="s">
        <v>79</v>
      </c>
      <c r="I420" t="s">
        <v>80</v>
      </c>
      <c r="J420" t="s">
        <v>91</v>
      </c>
      <c r="K420" t="s">
        <v>78</v>
      </c>
      <c r="L420" t="s">
        <v>168</v>
      </c>
      <c r="M420" t="s">
        <v>169</v>
      </c>
      <c r="N420" t="s">
        <v>911</v>
      </c>
      <c r="O420" t="s">
        <v>82</v>
      </c>
      <c r="P420" t="str">
        <f>"4170062812                    "</f>
        <v xml:space="preserve">4170062812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22.36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1.7</v>
      </c>
      <c r="BK420">
        <v>2</v>
      </c>
      <c r="BL420">
        <v>70.959999999999994</v>
      </c>
      <c r="BM420">
        <v>10.64</v>
      </c>
      <c r="BN420">
        <v>81.599999999999994</v>
      </c>
      <c r="BO420">
        <v>81.599999999999994</v>
      </c>
      <c r="BQ420" t="s">
        <v>912</v>
      </c>
      <c r="BR420" t="s">
        <v>97</v>
      </c>
      <c r="BS420" s="3">
        <v>45936</v>
      </c>
      <c r="BT420" s="4">
        <v>0.63194444444444442</v>
      </c>
      <c r="BU420" t="s">
        <v>1086</v>
      </c>
      <c r="BV420" t="s">
        <v>90</v>
      </c>
      <c r="BW420" t="s">
        <v>188</v>
      </c>
      <c r="BX420" t="s">
        <v>1087</v>
      </c>
      <c r="BY420">
        <v>8550</v>
      </c>
      <c r="CC420" t="s">
        <v>169</v>
      </c>
      <c r="CD420" s="5" t="s">
        <v>914</v>
      </c>
      <c r="CE420" t="s">
        <v>191</v>
      </c>
      <c r="CF420" s="3">
        <v>45936</v>
      </c>
      <c r="CI420">
        <v>1</v>
      </c>
      <c r="CJ420">
        <v>1</v>
      </c>
      <c r="CK420">
        <v>21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"080068290723"</f>
        <v>080068290723</v>
      </c>
      <c r="F421" s="3">
        <v>45933</v>
      </c>
      <c r="G421">
        <v>202607</v>
      </c>
      <c r="H421" t="s">
        <v>79</v>
      </c>
      <c r="I421" t="s">
        <v>80</v>
      </c>
      <c r="J421" t="s">
        <v>91</v>
      </c>
      <c r="K421" t="s">
        <v>78</v>
      </c>
      <c r="L421" t="s">
        <v>218</v>
      </c>
      <c r="M421" t="s">
        <v>219</v>
      </c>
      <c r="N421" t="s">
        <v>220</v>
      </c>
      <c r="O421" t="s">
        <v>95</v>
      </c>
      <c r="P421" t="str">
        <f>"4170062844                    "</f>
        <v xml:space="preserve">4170062844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67.489999999999995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4</v>
      </c>
      <c r="BI421">
        <v>28</v>
      </c>
      <c r="BJ421">
        <v>49.9</v>
      </c>
      <c r="BK421">
        <v>50</v>
      </c>
      <c r="BL421">
        <v>220.08</v>
      </c>
      <c r="BM421">
        <v>33.01</v>
      </c>
      <c r="BN421">
        <v>253.09</v>
      </c>
      <c r="BO421">
        <v>253.09</v>
      </c>
      <c r="BQ421" t="s">
        <v>221</v>
      </c>
      <c r="BR421" t="s">
        <v>97</v>
      </c>
      <c r="BS421" s="3">
        <v>45937</v>
      </c>
      <c r="BT421" s="4">
        <v>0.49375000000000002</v>
      </c>
      <c r="BU421" t="s">
        <v>554</v>
      </c>
      <c r="BV421" t="s">
        <v>90</v>
      </c>
      <c r="BY421">
        <v>62400</v>
      </c>
      <c r="CA421" t="s">
        <v>555</v>
      </c>
      <c r="CC421" t="s">
        <v>219</v>
      </c>
      <c r="CD421">
        <v>1559</v>
      </c>
      <c r="CE421" t="s">
        <v>1088</v>
      </c>
      <c r="CF421" s="3">
        <v>45938</v>
      </c>
      <c r="CI421">
        <v>1</v>
      </c>
      <c r="CJ421">
        <v>2</v>
      </c>
      <c r="CK421">
        <v>42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"080068290754"</f>
        <v>080068290754</v>
      </c>
      <c r="F422" s="3">
        <v>45933</v>
      </c>
      <c r="G422">
        <v>202607</v>
      </c>
      <c r="H422" t="s">
        <v>79</v>
      </c>
      <c r="I422" t="s">
        <v>80</v>
      </c>
      <c r="J422" t="s">
        <v>91</v>
      </c>
      <c r="K422" t="s">
        <v>78</v>
      </c>
      <c r="L422" t="s">
        <v>108</v>
      </c>
      <c r="M422" t="s">
        <v>109</v>
      </c>
      <c r="N422" t="s">
        <v>751</v>
      </c>
      <c r="O422" t="s">
        <v>82</v>
      </c>
      <c r="P422" t="str">
        <f>"4170062892                    "</f>
        <v xml:space="preserve">4170062892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22.36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70.959999999999994</v>
      </c>
      <c r="BM422">
        <v>10.64</v>
      </c>
      <c r="BN422">
        <v>81.599999999999994</v>
      </c>
      <c r="BO422">
        <v>81.599999999999994</v>
      </c>
      <c r="BQ422" t="s">
        <v>752</v>
      </c>
      <c r="BR422" t="s">
        <v>97</v>
      </c>
      <c r="BS422" s="3">
        <v>45936</v>
      </c>
      <c r="BT422" s="4">
        <v>0.3840277777777778</v>
      </c>
      <c r="BU422" t="s">
        <v>1089</v>
      </c>
      <c r="BV422" t="s">
        <v>86</v>
      </c>
      <c r="BY422">
        <v>1200</v>
      </c>
      <c r="CA422" t="s">
        <v>1090</v>
      </c>
      <c r="CC422" t="s">
        <v>109</v>
      </c>
      <c r="CD422">
        <v>6001</v>
      </c>
      <c r="CE422" t="s">
        <v>1085</v>
      </c>
      <c r="CF422" s="3">
        <v>45936</v>
      </c>
      <c r="CI422">
        <v>1</v>
      </c>
      <c r="CJ422">
        <v>1</v>
      </c>
      <c r="CK422">
        <v>21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"080068290774"</f>
        <v>080068290774</v>
      </c>
      <c r="F423" s="3">
        <v>45933</v>
      </c>
      <c r="G423">
        <v>202607</v>
      </c>
      <c r="H423" t="s">
        <v>79</v>
      </c>
      <c r="I423" t="s">
        <v>80</v>
      </c>
      <c r="J423" t="s">
        <v>91</v>
      </c>
      <c r="K423" t="s">
        <v>78</v>
      </c>
      <c r="L423" t="s">
        <v>108</v>
      </c>
      <c r="M423" t="s">
        <v>109</v>
      </c>
      <c r="N423" t="s">
        <v>1091</v>
      </c>
      <c r="O423" t="s">
        <v>82</v>
      </c>
      <c r="P423" t="str">
        <f>"4170062917                    "</f>
        <v xml:space="preserve">4170062917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22.36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1.8</v>
      </c>
      <c r="BK423">
        <v>2</v>
      </c>
      <c r="BL423">
        <v>70.959999999999994</v>
      </c>
      <c r="BM423">
        <v>10.64</v>
      </c>
      <c r="BN423">
        <v>81.599999999999994</v>
      </c>
      <c r="BO423">
        <v>81.599999999999994</v>
      </c>
      <c r="BQ423" t="s">
        <v>1092</v>
      </c>
      <c r="BR423" t="s">
        <v>97</v>
      </c>
      <c r="BS423" s="3">
        <v>45936</v>
      </c>
      <c r="BT423" s="4">
        <v>0.42777777777777776</v>
      </c>
      <c r="BU423" t="s">
        <v>1093</v>
      </c>
      <c r="BV423" t="s">
        <v>86</v>
      </c>
      <c r="BY423">
        <v>9044</v>
      </c>
      <c r="CA423" t="s">
        <v>1070</v>
      </c>
      <c r="CC423" t="s">
        <v>109</v>
      </c>
      <c r="CD423">
        <v>6001</v>
      </c>
      <c r="CE423" t="s">
        <v>191</v>
      </c>
      <c r="CF423" s="3">
        <v>45936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"080068290838"</f>
        <v>080068290838</v>
      </c>
      <c r="F424" s="3">
        <v>45933</v>
      </c>
      <c r="G424">
        <v>202607</v>
      </c>
      <c r="H424" t="s">
        <v>79</v>
      </c>
      <c r="I424" t="s">
        <v>80</v>
      </c>
      <c r="J424" t="s">
        <v>91</v>
      </c>
      <c r="K424" t="s">
        <v>78</v>
      </c>
      <c r="L424" t="s">
        <v>446</v>
      </c>
      <c r="M424" t="s">
        <v>447</v>
      </c>
      <c r="N424" t="s">
        <v>448</v>
      </c>
      <c r="O424" t="s">
        <v>82</v>
      </c>
      <c r="P424" t="str">
        <f>"4170062901                    "</f>
        <v xml:space="preserve">4170062901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43.31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0.9</v>
      </c>
      <c r="BK424">
        <v>1</v>
      </c>
      <c r="BL424">
        <v>137.47</v>
      </c>
      <c r="BM424">
        <v>20.62</v>
      </c>
      <c r="BN424">
        <v>158.09</v>
      </c>
      <c r="BO424">
        <v>158.09</v>
      </c>
      <c r="BQ424" t="s">
        <v>449</v>
      </c>
      <c r="BR424" t="s">
        <v>97</v>
      </c>
      <c r="BS424" s="3">
        <v>45936</v>
      </c>
      <c r="BT424" s="4">
        <v>0.56111111111111112</v>
      </c>
      <c r="BU424" t="s">
        <v>1094</v>
      </c>
      <c r="BV424" t="s">
        <v>90</v>
      </c>
      <c r="BW424" t="s">
        <v>347</v>
      </c>
      <c r="BX424" t="s">
        <v>1038</v>
      </c>
      <c r="BY424">
        <v>4275</v>
      </c>
      <c r="CA424" t="s">
        <v>1039</v>
      </c>
      <c r="CC424" t="s">
        <v>447</v>
      </c>
      <c r="CD424">
        <v>7130</v>
      </c>
      <c r="CE424" t="s">
        <v>191</v>
      </c>
      <c r="CF424" s="3">
        <v>45937</v>
      </c>
      <c r="CI424">
        <v>1</v>
      </c>
      <c r="CJ424">
        <v>1</v>
      </c>
      <c r="CK424">
        <v>23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"080068290895"</f>
        <v>080068290895</v>
      </c>
      <c r="F425" s="3">
        <v>45933</v>
      </c>
      <c r="G425">
        <v>202607</v>
      </c>
      <c r="H425" t="s">
        <v>79</v>
      </c>
      <c r="I425" t="s">
        <v>80</v>
      </c>
      <c r="J425" t="s">
        <v>91</v>
      </c>
      <c r="K425" t="s">
        <v>78</v>
      </c>
      <c r="L425" t="s">
        <v>79</v>
      </c>
      <c r="M425" t="s">
        <v>80</v>
      </c>
      <c r="N425" t="s">
        <v>577</v>
      </c>
      <c r="O425" t="s">
        <v>82</v>
      </c>
      <c r="P425" t="str">
        <f>"4170062938                    "</f>
        <v xml:space="preserve">4170062938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17.46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1.8</v>
      </c>
      <c r="BK425">
        <v>2</v>
      </c>
      <c r="BL425">
        <v>55.42</v>
      </c>
      <c r="BM425">
        <v>8.31</v>
      </c>
      <c r="BN425">
        <v>63.73</v>
      </c>
      <c r="BO425">
        <v>63.73</v>
      </c>
      <c r="BQ425" t="s">
        <v>578</v>
      </c>
      <c r="BR425" t="s">
        <v>97</v>
      </c>
      <c r="BS425" s="3">
        <v>45936</v>
      </c>
      <c r="BT425" s="4">
        <v>0.42430555555555555</v>
      </c>
      <c r="BU425" t="s">
        <v>579</v>
      </c>
      <c r="BV425" t="s">
        <v>86</v>
      </c>
      <c r="BY425">
        <v>8775</v>
      </c>
      <c r="CA425" t="s">
        <v>580</v>
      </c>
      <c r="CC425" t="s">
        <v>80</v>
      </c>
      <c r="CD425">
        <v>1619</v>
      </c>
      <c r="CE425" t="s">
        <v>191</v>
      </c>
      <c r="CF425" s="3">
        <v>45936</v>
      </c>
      <c r="CI425">
        <v>1</v>
      </c>
      <c r="CJ425">
        <v>1</v>
      </c>
      <c r="CK425">
        <v>22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"080068290958"</f>
        <v>080068290958</v>
      </c>
      <c r="F426" s="3">
        <v>45933</v>
      </c>
      <c r="G426">
        <v>202607</v>
      </c>
      <c r="H426" t="s">
        <v>79</v>
      </c>
      <c r="I426" t="s">
        <v>80</v>
      </c>
      <c r="J426" t="s">
        <v>91</v>
      </c>
      <c r="K426" t="s">
        <v>78</v>
      </c>
      <c r="L426" t="s">
        <v>1095</v>
      </c>
      <c r="M426" t="s">
        <v>1096</v>
      </c>
      <c r="N426" t="s">
        <v>1097</v>
      </c>
      <c r="O426" t="s">
        <v>82</v>
      </c>
      <c r="P426" t="str">
        <f>"4170062907                    "</f>
        <v xml:space="preserve">4170062907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43.31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137.47</v>
      </c>
      <c r="BM426">
        <v>20.62</v>
      </c>
      <c r="BN426">
        <v>158.09</v>
      </c>
      <c r="BO426">
        <v>158.09</v>
      </c>
      <c r="BQ426" t="s">
        <v>1098</v>
      </c>
      <c r="BR426" t="s">
        <v>97</v>
      </c>
      <c r="BS426" s="3">
        <v>45938</v>
      </c>
      <c r="BT426" s="4">
        <v>0.40972222222222221</v>
      </c>
      <c r="BU426" t="s">
        <v>1094</v>
      </c>
      <c r="BV426" t="s">
        <v>90</v>
      </c>
      <c r="BY426">
        <v>1200</v>
      </c>
      <c r="CA426" t="s">
        <v>1099</v>
      </c>
      <c r="CC426" t="s">
        <v>1096</v>
      </c>
      <c r="CD426">
        <v>2302</v>
      </c>
      <c r="CE426" t="s">
        <v>147</v>
      </c>
      <c r="CF426" s="3">
        <v>45945</v>
      </c>
      <c r="CI426">
        <v>1</v>
      </c>
      <c r="CJ426">
        <v>3</v>
      </c>
      <c r="CK426">
        <v>23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"080068291012"</f>
        <v>080068291012</v>
      </c>
      <c r="F427" s="3">
        <v>45933</v>
      </c>
      <c r="G427">
        <v>202607</v>
      </c>
      <c r="H427" t="s">
        <v>79</v>
      </c>
      <c r="I427" t="s">
        <v>80</v>
      </c>
      <c r="J427" t="s">
        <v>91</v>
      </c>
      <c r="K427" t="s">
        <v>78</v>
      </c>
      <c r="L427" t="s">
        <v>148</v>
      </c>
      <c r="M427" t="s">
        <v>149</v>
      </c>
      <c r="N427" t="s">
        <v>1100</v>
      </c>
      <c r="O427" t="s">
        <v>82</v>
      </c>
      <c r="P427" t="str">
        <f>"4170062939                    "</f>
        <v xml:space="preserve">4170062939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17.46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55.42</v>
      </c>
      <c r="BM427">
        <v>8.31</v>
      </c>
      <c r="BN427">
        <v>63.73</v>
      </c>
      <c r="BO427">
        <v>63.73</v>
      </c>
      <c r="BQ427" t="s">
        <v>1101</v>
      </c>
      <c r="BR427" t="s">
        <v>97</v>
      </c>
      <c r="BS427" s="3">
        <v>45937</v>
      </c>
      <c r="BT427" s="4">
        <v>0.34375</v>
      </c>
      <c r="BU427" t="s">
        <v>1102</v>
      </c>
      <c r="BV427" t="s">
        <v>90</v>
      </c>
      <c r="BW427" t="s">
        <v>188</v>
      </c>
      <c r="BX427" t="s">
        <v>772</v>
      </c>
      <c r="BY427">
        <v>1200</v>
      </c>
      <c r="CC427" t="s">
        <v>149</v>
      </c>
      <c r="CD427">
        <v>2001</v>
      </c>
      <c r="CE427" t="s">
        <v>147</v>
      </c>
      <c r="CF427" s="3">
        <v>45937</v>
      </c>
      <c r="CI427">
        <v>1</v>
      </c>
      <c r="CJ427">
        <v>2</v>
      </c>
      <c r="CK427">
        <v>22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"080068291153"</f>
        <v>080068291153</v>
      </c>
      <c r="F428" s="3">
        <v>45933</v>
      </c>
      <c r="G428">
        <v>202607</v>
      </c>
      <c r="H428" t="s">
        <v>79</v>
      </c>
      <c r="I428" t="s">
        <v>80</v>
      </c>
      <c r="J428" t="s">
        <v>91</v>
      </c>
      <c r="K428" t="s">
        <v>78</v>
      </c>
      <c r="L428" t="s">
        <v>174</v>
      </c>
      <c r="M428" t="s">
        <v>175</v>
      </c>
      <c r="N428" t="s">
        <v>176</v>
      </c>
      <c r="O428" t="s">
        <v>95</v>
      </c>
      <c r="P428" t="str">
        <f>"4170062833                    "</f>
        <v xml:space="preserve">4170062833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53.84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4</v>
      </c>
      <c r="BI428">
        <v>36</v>
      </c>
      <c r="BJ428">
        <v>19.7</v>
      </c>
      <c r="BK428">
        <v>36</v>
      </c>
      <c r="BL428">
        <v>176.75</v>
      </c>
      <c r="BM428">
        <v>26.51</v>
      </c>
      <c r="BN428">
        <v>203.26</v>
      </c>
      <c r="BO428">
        <v>203.26</v>
      </c>
      <c r="BQ428" t="s">
        <v>177</v>
      </c>
      <c r="BR428" t="s">
        <v>97</v>
      </c>
      <c r="BS428" s="3">
        <v>45939</v>
      </c>
      <c r="BT428" s="4">
        <v>0.52361111111111114</v>
      </c>
      <c r="BU428" t="s">
        <v>1103</v>
      </c>
      <c r="BV428" t="s">
        <v>90</v>
      </c>
      <c r="BY428">
        <v>24576</v>
      </c>
      <c r="CA428" t="s">
        <v>1104</v>
      </c>
      <c r="CC428" t="s">
        <v>175</v>
      </c>
      <c r="CD428">
        <v>1540</v>
      </c>
      <c r="CE428" t="s">
        <v>1088</v>
      </c>
      <c r="CF428" s="3">
        <v>45944</v>
      </c>
      <c r="CI428">
        <v>1</v>
      </c>
      <c r="CJ428">
        <v>4</v>
      </c>
      <c r="CK428">
        <v>42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"080068291384"</f>
        <v>080068291384</v>
      </c>
      <c r="F429" s="3">
        <v>45933</v>
      </c>
      <c r="G429">
        <v>202607</v>
      </c>
      <c r="H429" t="s">
        <v>79</v>
      </c>
      <c r="I429" t="s">
        <v>80</v>
      </c>
      <c r="J429" t="s">
        <v>91</v>
      </c>
      <c r="K429" t="s">
        <v>78</v>
      </c>
      <c r="L429" t="s">
        <v>168</v>
      </c>
      <c r="M429" t="s">
        <v>169</v>
      </c>
      <c r="N429" t="s">
        <v>1105</v>
      </c>
      <c r="O429" t="s">
        <v>82</v>
      </c>
      <c r="P429" t="str">
        <f>"4170062863                    "</f>
        <v xml:space="preserve">4170062863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22.36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0.8</v>
      </c>
      <c r="BK429">
        <v>1</v>
      </c>
      <c r="BL429">
        <v>70.959999999999994</v>
      </c>
      <c r="BM429">
        <v>10.64</v>
      </c>
      <c r="BN429">
        <v>81.599999999999994</v>
      </c>
      <c r="BO429">
        <v>81.599999999999994</v>
      </c>
      <c r="BQ429" t="s">
        <v>1106</v>
      </c>
      <c r="BR429" t="s">
        <v>97</v>
      </c>
      <c r="BS429" s="3">
        <v>45936</v>
      </c>
      <c r="BT429" s="4">
        <v>0.3263888888888889</v>
      </c>
      <c r="BU429" t="s">
        <v>1107</v>
      </c>
      <c r="BV429" t="s">
        <v>86</v>
      </c>
      <c r="BY429">
        <v>4176</v>
      </c>
      <c r="CC429" t="s">
        <v>169</v>
      </c>
      <c r="CD429" s="5" t="s">
        <v>1108</v>
      </c>
      <c r="CE429" t="s">
        <v>191</v>
      </c>
      <c r="CF429" s="3">
        <v>45936</v>
      </c>
      <c r="CI429">
        <v>1</v>
      </c>
      <c r="CJ429">
        <v>1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"080068291421"</f>
        <v>080068291421</v>
      </c>
      <c r="F430" s="3">
        <v>45933</v>
      </c>
      <c r="G430">
        <v>202607</v>
      </c>
      <c r="H430" t="s">
        <v>79</v>
      </c>
      <c r="I430" t="s">
        <v>80</v>
      </c>
      <c r="J430" t="s">
        <v>91</v>
      </c>
      <c r="K430" t="s">
        <v>78</v>
      </c>
      <c r="L430" t="s">
        <v>180</v>
      </c>
      <c r="M430" t="s">
        <v>181</v>
      </c>
      <c r="N430" t="s">
        <v>182</v>
      </c>
      <c r="O430" t="s">
        <v>82</v>
      </c>
      <c r="P430" t="str">
        <f>"4170062904                    "</f>
        <v xml:space="preserve">4170062904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43.31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0.9</v>
      </c>
      <c r="BK430">
        <v>2</v>
      </c>
      <c r="BL430">
        <v>137.47</v>
      </c>
      <c r="BM430">
        <v>20.62</v>
      </c>
      <c r="BN430">
        <v>158.09</v>
      </c>
      <c r="BO430">
        <v>158.09</v>
      </c>
      <c r="BQ430" t="s">
        <v>183</v>
      </c>
      <c r="BR430" t="s">
        <v>97</v>
      </c>
      <c r="BS430" s="3">
        <v>45936</v>
      </c>
      <c r="BT430" s="4">
        <v>0.60624999999999996</v>
      </c>
      <c r="BU430" t="s">
        <v>184</v>
      </c>
      <c r="BV430" t="s">
        <v>86</v>
      </c>
      <c r="BY430">
        <v>4275</v>
      </c>
      <c r="CC430" t="s">
        <v>181</v>
      </c>
      <c r="CD430">
        <v>1028</v>
      </c>
      <c r="CE430" t="s">
        <v>191</v>
      </c>
      <c r="CF430" s="3">
        <v>45936</v>
      </c>
      <c r="CI430">
        <v>1</v>
      </c>
      <c r="CJ430">
        <v>1</v>
      </c>
      <c r="CK430">
        <v>23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"080068291458"</f>
        <v>080068291458</v>
      </c>
      <c r="F431" s="3">
        <v>45933</v>
      </c>
      <c r="G431">
        <v>202607</v>
      </c>
      <c r="H431" t="s">
        <v>79</v>
      </c>
      <c r="I431" t="s">
        <v>80</v>
      </c>
      <c r="J431" t="s">
        <v>91</v>
      </c>
      <c r="K431" t="s">
        <v>78</v>
      </c>
      <c r="L431" t="s">
        <v>108</v>
      </c>
      <c r="M431" t="s">
        <v>109</v>
      </c>
      <c r="N431" t="s">
        <v>515</v>
      </c>
      <c r="O431" t="s">
        <v>82</v>
      </c>
      <c r="P431" t="str">
        <f>"4170062870                    "</f>
        <v xml:space="preserve">4170062870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189.89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17</v>
      </c>
      <c r="BJ431">
        <v>8.9</v>
      </c>
      <c r="BK431">
        <v>17</v>
      </c>
      <c r="BL431">
        <v>602.69000000000005</v>
      </c>
      <c r="BM431">
        <v>90.4</v>
      </c>
      <c r="BN431">
        <v>693.09</v>
      </c>
      <c r="BO431">
        <v>693.09</v>
      </c>
      <c r="BQ431" t="s">
        <v>516</v>
      </c>
      <c r="BR431" t="s">
        <v>97</v>
      </c>
      <c r="BS431" s="3">
        <v>45936</v>
      </c>
      <c r="BT431" s="4">
        <v>0.3888888888888889</v>
      </c>
      <c r="BU431" t="s">
        <v>1069</v>
      </c>
      <c r="BV431" t="s">
        <v>86</v>
      </c>
      <c r="BY431">
        <v>44640</v>
      </c>
      <c r="CA431" t="s">
        <v>1070</v>
      </c>
      <c r="CC431" t="s">
        <v>109</v>
      </c>
      <c r="CD431">
        <v>6001</v>
      </c>
      <c r="CE431" t="s">
        <v>191</v>
      </c>
      <c r="CF431" s="3">
        <v>45936</v>
      </c>
      <c r="CI431">
        <v>1</v>
      </c>
      <c r="CJ431">
        <v>1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"080068291516"</f>
        <v>080068291516</v>
      </c>
      <c r="F432" s="3">
        <v>45933</v>
      </c>
      <c r="G432">
        <v>202607</v>
      </c>
      <c r="H432" t="s">
        <v>79</v>
      </c>
      <c r="I432" t="s">
        <v>80</v>
      </c>
      <c r="J432" t="s">
        <v>91</v>
      </c>
      <c r="K432" t="s">
        <v>78</v>
      </c>
      <c r="L432" t="s">
        <v>223</v>
      </c>
      <c r="M432" t="s">
        <v>224</v>
      </c>
      <c r="N432" t="s">
        <v>570</v>
      </c>
      <c r="O432" t="s">
        <v>82</v>
      </c>
      <c r="P432" t="str">
        <f>"4170062891                    "</f>
        <v xml:space="preserve">4170062891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17.46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2</v>
      </c>
      <c r="BI432">
        <v>6</v>
      </c>
      <c r="BJ432">
        <v>4</v>
      </c>
      <c r="BK432">
        <v>6</v>
      </c>
      <c r="BL432">
        <v>55.42</v>
      </c>
      <c r="BM432">
        <v>8.31</v>
      </c>
      <c r="BN432">
        <v>63.73</v>
      </c>
      <c r="BO432">
        <v>63.73</v>
      </c>
      <c r="BQ432" t="s">
        <v>571</v>
      </c>
      <c r="BR432" t="s">
        <v>97</v>
      </c>
      <c r="BS432" s="3">
        <v>45936</v>
      </c>
      <c r="BT432" s="4">
        <v>0.42638888888888887</v>
      </c>
      <c r="BU432" t="s">
        <v>1109</v>
      </c>
      <c r="BV432" t="s">
        <v>86</v>
      </c>
      <c r="BY432">
        <v>9918</v>
      </c>
      <c r="CA432" t="s">
        <v>1110</v>
      </c>
      <c r="CC432" t="s">
        <v>224</v>
      </c>
      <c r="CD432">
        <v>1459</v>
      </c>
      <c r="CE432" t="s">
        <v>191</v>
      </c>
      <c r="CF432" s="3">
        <v>45936</v>
      </c>
      <c r="CI432">
        <v>1</v>
      </c>
      <c r="CJ432">
        <v>1</v>
      </c>
      <c r="CK432">
        <v>22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"080068291575"</f>
        <v>080068291575</v>
      </c>
      <c r="F433" s="3">
        <v>45933</v>
      </c>
      <c r="G433">
        <v>202607</v>
      </c>
      <c r="H433" t="s">
        <v>79</v>
      </c>
      <c r="I433" t="s">
        <v>80</v>
      </c>
      <c r="J433" t="s">
        <v>91</v>
      </c>
      <c r="K433" t="s">
        <v>78</v>
      </c>
      <c r="L433" t="s">
        <v>148</v>
      </c>
      <c r="M433" t="s">
        <v>149</v>
      </c>
      <c r="N433" t="s">
        <v>465</v>
      </c>
      <c r="O433" t="s">
        <v>226</v>
      </c>
      <c r="P433" t="str">
        <f>"4170062953                    "</f>
        <v xml:space="preserve">4170062953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17.47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4</v>
      </c>
      <c r="BJ433">
        <v>3.8</v>
      </c>
      <c r="BK433">
        <v>4</v>
      </c>
      <c r="BL433">
        <v>55.44</v>
      </c>
      <c r="BM433">
        <v>8.32</v>
      </c>
      <c r="BN433">
        <v>63.76</v>
      </c>
      <c r="BO433">
        <v>63.76</v>
      </c>
      <c r="BQ433" t="s">
        <v>466</v>
      </c>
      <c r="BR433" t="s">
        <v>97</v>
      </c>
      <c r="BS433" s="3">
        <v>45936</v>
      </c>
      <c r="BT433" s="4">
        <v>0.43055555555555558</v>
      </c>
      <c r="BU433" t="s">
        <v>518</v>
      </c>
      <c r="BV433" t="s">
        <v>86</v>
      </c>
      <c r="BY433">
        <v>19116</v>
      </c>
      <c r="CA433" t="s">
        <v>773</v>
      </c>
      <c r="CC433" t="s">
        <v>149</v>
      </c>
      <c r="CD433">
        <v>2094</v>
      </c>
      <c r="CE433" t="s">
        <v>107</v>
      </c>
      <c r="CF433" s="3">
        <v>45936</v>
      </c>
      <c r="CI433">
        <v>1</v>
      </c>
      <c r="CJ433">
        <v>1</v>
      </c>
      <c r="CK433">
        <v>32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"080068291585"</f>
        <v>080068291585</v>
      </c>
      <c r="F434" s="3">
        <v>45933</v>
      </c>
      <c r="G434">
        <v>202607</v>
      </c>
      <c r="H434" t="s">
        <v>79</v>
      </c>
      <c r="I434" t="s">
        <v>80</v>
      </c>
      <c r="J434" t="s">
        <v>91</v>
      </c>
      <c r="K434" t="s">
        <v>78</v>
      </c>
      <c r="L434" t="s">
        <v>79</v>
      </c>
      <c r="M434" t="s">
        <v>80</v>
      </c>
      <c r="N434" t="s">
        <v>163</v>
      </c>
      <c r="O434" t="s">
        <v>82</v>
      </c>
      <c r="P434" t="str">
        <f>"4170062949                    "</f>
        <v xml:space="preserve">4170062949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17.46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55.42</v>
      </c>
      <c r="BM434">
        <v>8.31</v>
      </c>
      <c r="BN434">
        <v>63.73</v>
      </c>
      <c r="BO434">
        <v>63.73</v>
      </c>
      <c r="BQ434" t="s">
        <v>164</v>
      </c>
      <c r="BR434" t="s">
        <v>97</v>
      </c>
      <c r="BS434" s="3">
        <v>45936</v>
      </c>
      <c r="BT434" s="4">
        <v>0.37708333333333333</v>
      </c>
      <c r="BU434" t="s">
        <v>165</v>
      </c>
      <c r="BV434" t="s">
        <v>86</v>
      </c>
      <c r="BY434">
        <v>1200</v>
      </c>
      <c r="CA434" t="s">
        <v>166</v>
      </c>
      <c r="CC434" t="s">
        <v>80</v>
      </c>
      <c r="CD434">
        <v>1600</v>
      </c>
      <c r="CE434" t="s">
        <v>147</v>
      </c>
      <c r="CF434" s="3">
        <v>45937</v>
      </c>
      <c r="CI434">
        <v>1</v>
      </c>
      <c r="CJ434">
        <v>1</v>
      </c>
      <c r="CK434">
        <v>22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"080068291613"</f>
        <v>080068291613</v>
      </c>
      <c r="F435" s="3">
        <v>45933</v>
      </c>
      <c r="G435">
        <v>202607</v>
      </c>
      <c r="H435" t="s">
        <v>79</v>
      </c>
      <c r="I435" t="s">
        <v>80</v>
      </c>
      <c r="J435" t="s">
        <v>91</v>
      </c>
      <c r="K435" t="s">
        <v>78</v>
      </c>
      <c r="L435" t="s">
        <v>79</v>
      </c>
      <c r="M435" t="s">
        <v>80</v>
      </c>
      <c r="N435" t="s">
        <v>163</v>
      </c>
      <c r="O435" t="s">
        <v>82</v>
      </c>
      <c r="P435" t="str">
        <f>"4170062950                    "</f>
        <v xml:space="preserve">4170062950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17.46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55.42</v>
      </c>
      <c r="BM435">
        <v>8.31</v>
      </c>
      <c r="BN435">
        <v>63.73</v>
      </c>
      <c r="BO435">
        <v>63.73</v>
      </c>
      <c r="BQ435" t="s">
        <v>164</v>
      </c>
      <c r="BR435" t="s">
        <v>97</v>
      </c>
      <c r="BS435" s="3">
        <v>45936</v>
      </c>
      <c r="BT435" s="4">
        <v>0.37708333333333333</v>
      </c>
      <c r="BU435" t="s">
        <v>165</v>
      </c>
      <c r="BV435" t="s">
        <v>86</v>
      </c>
      <c r="BY435">
        <v>1200</v>
      </c>
      <c r="CA435" t="s">
        <v>166</v>
      </c>
      <c r="CC435" t="s">
        <v>80</v>
      </c>
      <c r="CD435">
        <v>1600</v>
      </c>
      <c r="CE435" t="s">
        <v>147</v>
      </c>
      <c r="CF435" s="3">
        <v>45937</v>
      </c>
      <c r="CI435">
        <v>1</v>
      </c>
      <c r="CJ435">
        <v>1</v>
      </c>
      <c r="CK435">
        <v>22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"080068291615"</f>
        <v>080068291615</v>
      </c>
      <c r="F436" s="3">
        <v>45933</v>
      </c>
      <c r="G436">
        <v>202607</v>
      </c>
      <c r="H436" t="s">
        <v>79</v>
      </c>
      <c r="I436" t="s">
        <v>80</v>
      </c>
      <c r="J436" t="s">
        <v>91</v>
      </c>
      <c r="K436" t="s">
        <v>78</v>
      </c>
      <c r="L436" t="s">
        <v>148</v>
      </c>
      <c r="M436" t="s">
        <v>149</v>
      </c>
      <c r="N436" t="s">
        <v>465</v>
      </c>
      <c r="O436" t="s">
        <v>82</v>
      </c>
      <c r="P436" t="str">
        <f>"4170062946                    "</f>
        <v xml:space="preserve">4170062946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17.46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55.42</v>
      </c>
      <c r="BM436">
        <v>8.31</v>
      </c>
      <c r="BN436">
        <v>63.73</v>
      </c>
      <c r="BO436">
        <v>63.73</v>
      </c>
      <c r="BQ436" t="s">
        <v>466</v>
      </c>
      <c r="BR436" t="s">
        <v>97</v>
      </c>
      <c r="BS436" s="3">
        <v>45936</v>
      </c>
      <c r="BT436" s="4">
        <v>0.43055555555555558</v>
      </c>
      <c r="BU436" t="s">
        <v>518</v>
      </c>
      <c r="BV436" t="s">
        <v>86</v>
      </c>
      <c r="BY436">
        <v>1200</v>
      </c>
      <c r="CA436" t="s">
        <v>773</v>
      </c>
      <c r="CC436" t="s">
        <v>149</v>
      </c>
      <c r="CD436">
        <v>2094</v>
      </c>
      <c r="CE436" t="s">
        <v>147</v>
      </c>
      <c r="CF436" s="3">
        <v>45936</v>
      </c>
      <c r="CI436">
        <v>1</v>
      </c>
      <c r="CJ436">
        <v>1</v>
      </c>
      <c r="CK436">
        <v>22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"080068291638"</f>
        <v>080068291638</v>
      </c>
      <c r="F437" s="3">
        <v>45933</v>
      </c>
      <c r="G437">
        <v>202607</v>
      </c>
      <c r="H437" t="s">
        <v>79</v>
      </c>
      <c r="I437" t="s">
        <v>80</v>
      </c>
      <c r="J437" t="s">
        <v>91</v>
      </c>
      <c r="K437" t="s">
        <v>78</v>
      </c>
      <c r="L437" t="s">
        <v>121</v>
      </c>
      <c r="M437" t="s">
        <v>122</v>
      </c>
      <c r="N437" t="s">
        <v>1111</v>
      </c>
      <c r="O437" t="s">
        <v>82</v>
      </c>
      <c r="P437" t="str">
        <f>"4170062958                    "</f>
        <v xml:space="preserve">4170062958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22.36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70.959999999999994</v>
      </c>
      <c r="BM437">
        <v>10.64</v>
      </c>
      <c r="BN437">
        <v>81.599999999999994</v>
      </c>
      <c r="BO437">
        <v>81.599999999999994</v>
      </c>
      <c r="BQ437" t="s">
        <v>1112</v>
      </c>
      <c r="BR437" t="s">
        <v>97</v>
      </c>
      <c r="BS437" s="3">
        <v>45936</v>
      </c>
      <c r="BT437" s="4">
        <v>0.58611111111111114</v>
      </c>
      <c r="BU437" t="s">
        <v>1113</v>
      </c>
      <c r="BV437" t="s">
        <v>90</v>
      </c>
      <c r="BW437" t="s">
        <v>136</v>
      </c>
      <c r="BX437" t="s">
        <v>787</v>
      </c>
      <c r="BY437">
        <v>1200</v>
      </c>
      <c r="CA437" t="s">
        <v>1114</v>
      </c>
      <c r="CC437" t="s">
        <v>122</v>
      </c>
      <c r="CD437">
        <v>4001</v>
      </c>
      <c r="CE437" t="s">
        <v>147</v>
      </c>
      <c r="CF437" s="3">
        <v>45936</v>
      </c>
      <c r="CI437">
        <v>1</v>
      </c>
      <c r="CJ437">
        <v>1</v>
      </c>
      <c r="CK437">
        <v>21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"080068291659"</f>
        <v>080068291659</v>
      </c>
      <c r="F438" s="3">
        <v>45933</v>
      </c>
      <c r="G438">
        <v>202607</v>
      </c>
      <c r="H438" t="s">
        <v>79</v>
      </c>
      <c r="I438" t="s">
        <v>80</v>
      </c>
      <c r="J438" t="s">
        <v>91</v>
      </c>
      <c r="K438" t="s">
        <v>78</v>
      </c>
      <c r="L438" t="s">
        <v>148</v>
      </c>
      <c r="M438" t="s">
        <v>149</v>
      </c>
      <c r="N438" t="s">
        <v>465</v>
      </c>
      <c r="O438" t="s">
        <v>82</v>
      </c>
      <c r="P438" t="str">
        <f>"4170062948                    "</f>
        <v xml:space="preserve">4170062948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17.46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55.42</v>
      </c>
      <c r="BM438">
        <v>8.31</v>
      </c>
      <c r="BN438">
        <v>63.73</v>
      </c>
      <c r="BO438">
        <v>63.73</v>
      </c>
      <c r="BQ438" t="s">
        <v>466</v>
      </c>
      <c r="BR438" t="s">
        <v>97</v>
      </c>
      <c r="BS438" s="3">
        <v>45936</v>
      </c>
      <c r="BT438" s="4">
        <v>0.43055555555555558</v>
      </c>
      <c r="BU438" t="s">
        <v>518</v>
      </c>
      <c r="BV438" t="s">
        <v>86</v>
      </c>
      <c r="BY438">
        <v>1200</v>
      </c>
      <c r="CA438" t="s">
        <v>773</v>
      </c>
      <c r="CC438" t="s">
        <v>149</v>
      </c>
      <c r="CD438">
        <v>2094</v>
      </c>
      <c r="CE438" t="s">
        <v>147</v>
      </c>
      <c r="CF438" s="3">
        <v>45936</v>
      </c>
      <c r="CI438">
        <v>1</v>
      </c>
      <c r="CJ438">
        <v>1</v>
      </c>
      <c r="CK438">
        <v>22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"080068291800"</f>
        <v>080068291800</v>
      </c>
      <c r="F439" s="3">
        <v>45933</v>
      </c>
      <c r="G439">
        <v>202607</v>
      </c>
      <c r="H439" t="s">
        <v>79</v>
      </c>
      <c r="I439" t="s">
        <v>80</v>
      </c>
      <c r="J439" t="s">
        <v>91</v>
      </c>
      <c r="K439" t="s">
        <v>78</v>
      </c>
      <c r="L439" t="s">
        <v>121</v>
      </c>
      <c r="M439" t="s">
        <v>122</v>
      </c>
      <c r="N439" t="s">
        <v>707</v>
      </c>
      <c r="O439" t="s">
        <v>82</v>
      </c>
      <c r="P439" t="str">
        <f>"4170062981                    "</f>
        <v xml:space="preserve">4170062981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22.36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70.959999999999994</v>
      </c>
      <c r="BM439">
        <v>10.64</v>
      </c>
      <c r="BN439">
        <v>81.599999999999994</v>
      </c>
      <c r="BO439">
        <v>81.599999999999994</v>
      </c>
      <c r="BQ439" t="s">
        <v>708</v>
      </c>
      <c r="BR439" t="s">
        <v>97</v>
      </c>
      <c r="BS439" s="3">
        <v>45936</v>
      </c>
      <c r="BT439" s="4">
        <v>0.39930555555555558</v>
      </c>
      <c r="BU439" t="s">
        <v>1051</v>
      </c>
      <c r="BV439" t="s">
        <v>86</v>
      </c>
      <c r="BY439">
        <v>1200</v>
      </c>
      <c r="CA439" t="s">
        <v>651</v>
      </c>
      <c r="CC439" t="s">
        <v>122</v>
      </c>
      <c r="CD439">
        <v>4001</v>
      </c>
      <c r="CE439" t="s">
        <v>147</v>
      </c>
      <c r="CF439" s="3">
        <v>45936</v>
      </c>
      <c r="CI439">
        <v>1</v>
      </c>
      <c r="CJ439">
        <v>1</v>
      </c>
      <c r="CK439">
        <v>21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"080068291848"</f>
        <v>080068291848</v>
      </c>
      <c r="F440" s="3">
        <v>45933</v>
      </c>
      <c r="G440">
        <v>202607</v>
      </c>
      <c r="H440" t="s">
        <v>79</v>
      </c>
      <c r="I440" t="s">
        <v>80</v>
      </c>
      <c r="J440" t="s">
        <v>91</v>
      </c>
      <c r="K440" t="s">
        <v>78</v>
      </c>
      <c r="L440" t="s">
        <v>114</v>
      </c>
      <c r="M440" t="s">
        <v>115</v>
      </c>
      <c r="N440" t="s">
        <v>746</v>
      </c>
      <c r="O440" t="s">
        <v>82</v>
      </c>
      <c r="P440" t="str">
        <f>"4170062908                    "</f>
        <v xml:space="preserve">4170062908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22.36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70.959999999999994</v>
      </c>
      <c r="BM440">
        <v>10.64</v>
      </c>
      <c r="BN440">
        <v>81.599999999999994</v>
      </c>
      <c r="BO440">
        <v>81.599999999999994</v>
      </c>
      <c r="BQ440" t="s">
        <v>747</v>
      </c>
      <c r="BR440" t="s">
        <v>97</v>
      </c>
      <c r="BS440" s="3">
        <v>45936</v>
      </c>
      <c r="BT440" s="4">
        <v>0.48749999999999999</v>
      </c>
      <c r="BU440" t="s">
        <v>748</v>
      </c>
      <c r="BV440" t="s">
        <v>90</v>
      </c>
      <c r="BY440">
        <v>1200</v>
      </c>
      <c r="CA440" t="s">
        <v>749</v>
      </c>
      <c r="CC440" t="s">
        <v>115</v>
      </c>
      <c r="CD440">
        <v>5201</v>
      </c>
      <c r="CE440" t="s">
        <v>147</v>
      </c>
      <c r="CF440" s="3">
        <v>45937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"080068291897"</f>
        <v>080068291897</v>
      </c>
      <c r="F441" s="3">
        <v>45933</v>
      </c>
      <c r="G441">
        <v>202607</v>
      </c>
      <c r="H441" t="s">
        <v>79</v>
      </c>
      <c r="I441" t="s">
        <v>80</v>
      </c>
      <c r="J441" t="s">
        <v>91</v>
      </c>
      <c r="K441" t="s">
        <v>78</v>
      </c>
      <c r="L441" t="s">
        <v>206</v>
      </c>
      <c r="M441" t="s">
        <v>207</v>
      </c>
      <c r="N441" t="s">
        <v>1115</v>
      </c>
      <c r="O441" t="s">
        <v>82</v>
      </c>
      <c r="P441" t="str">
        <f>"4170062849                    "</f>
        <v xml:space="preserve">4170062849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22.36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70.959999999999994</v>
      </c>
      <c r="BM441">
        <v>10.64</v>
      </c>
      <c r="BN441">
        <v>81.599999999999994</v>
      </c>
      <c r="BO441">
        <v>81.599999999999994</v>
      </c>
      <c r="BQ441" t="s">
        <v>1116</v>
      </c>
      <c r="BR441" t="s">
        <v>97</v>
      </c>
      <c r="BS441" s="3">
        <v>45938</v>
      </c>
      <c r="BT441" s="4">
        <v>0.46805555555555556</v>
      </c>
      <c r="BU441" t="s">
        <v>554</v>
      </c>
      <c r="BV441" t="s">
        <v>90</v>
      </c>
      <c r="BY441">
        <v>1200</v>
      </c>
      <c r="CA441" t="s">
        <v>555</v>
      </c>
      <c r="CC441" t="s">
        <v>207</v>
      </c>
      <c r="CD441">
        <v>7405</v>
      </c>
      <c r="CE441" t="s">
        <v>147</v>
      </c>
      <c r="CF441" s="3">
        <v>45944</v>
      </c>
      <c r="CI441">
        <v>1</v>
      </c>
      <c r="CJ441">
        <v>3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"080068291933"</f>
        <v>080068291933</v>
      </c>
      <c r="F442" s="3">
        <v>45933</v>
      </c>
      <c r="G442">
        <v>202607</v>
      </c>
      <c r="H442" t="s">
        <v>79</v>
      </c>
      <c r="I442" t="s">
        <v>80</v>
      </c>
      <c r="J442" t="s">
        <v>91</v>
      </c>
      <c r="K442" t="s">
        <v>78</v>
      </c>
      <c r="L442" t="s">
        <v>108</v>
      </c>
      <c r="M442" t="s">
        <v>109</v>
      </c>
      <c r="N442" t="s">
        <v>291</v>
      </c>
      <c r="O442" t="s">
        <v>82</v>
      </c>
      <c r="P442" t="str">
        <f>"4170062869                    "</f>
        <v xml:space="preserve">4170062869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22.36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70.959999999999994</v>
      </c>
      <c r="BM442">
        <v>10.64</v>
      </c>
      <c r="BN442">
        <v>81.599999999999994</v>
      </c>
      <c r="BO442">
        <v>81.599999999999994</v>
      </c>
      <c r="BQ442" t="s">
        <v>292</v>
      </c>
      <c r="BR442" t="s">
        <v>97</v>
      </c>
      <c r="BS442" s="3">
        <v>45937</v>
      </c>
      <c r="BT442" s="4">
        <v>0.34166666666666667</v>
      </c>
      <c r="BU442" t="s">
        <v>1117</v>
      </c>
      <c r="BV442" t="s">
        <v>90</v>
      </c>
      <c r="BW442" t="s">
        <v>136</v>
      </c>
      <c r="BX442" t="s">
        <v>338</v>
      </c>
      <c r="BY442">
        <v>1200</v>
      </c>
      <c r="CA442" t="s">
        <v>1090</v>
      </c>
      <c r="CC442" t="s">
        <v>109</v>
      </c>
      <c r="CD442">
        <v>6001</v>
      </c>
      <c r="CE442" t="s">
        <v>147</v>
      </c>
      <c r="CF442" s="3">
        <v>45938</v>
      </c>
      <c r="CI442">
        <v>1</v>
      </c>
      <c r="CJ442">
        <v>2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"009944129715"</f>
        <v>009944129715</v>
      </c>
      <c r="F443" s="3">
        <v>45933</v>
      </c>
      <c r="G443">
        <v>202607</v>
      </c>
      <c r="H443" t="s">
        <v>206</v>
      </c>
      <c r="I443" t="s">
        <v>207</v>
      </c>
      <c r="J443" t="s">
        <v>1118</v>
      </c>
      <c r="K443" t="s">
        <v>78</v>
      </c>
      <c r="L443" t="s">
        <v>121</v>
      </c>
      <c r="M443" t="s">
        <v>122</v>
      </c>
      <c r="N443" t="s">
        <v>1119</v>
      </c>
      <c r="O443" t="s">
        <v>226</v>
      </c>
      <c r="P443" t="str">
        <f>"                              "</f>
        <v xml:space="preserve">          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41.92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0.2</v>
      </c>
      <c r="BJ443">
        <v>1.7</v>
      </c>
      <c r="BK443">
        <v>2</v>
      </c>
      <c r="BL443">
        <v>133.05000000000001</v>
      </c>
      <c r="BM443">
        <v>19.96</v>
      </c>
      <c r="BN443">
        <v>153.01</v>
      </c>
      <c r="BO443">
        <v>153.01</v>
      </c>
      <c r="BQ443" t="s">
        <v>1120</v>
      </c>
      <c r="BS443" s="3">
        <v>45936</v>
      </c>
      <c r="BT443" s="4">
        <v>0.38750000000000001</v>
      </c>
      <c r="BU443" t="s">
        <v>320</v>
      </c>
      <c r="BV443" t="s">
        <v>86</v>
      </c>
      <c r="BY443">
        <v>8691.39</v>
      </c>
      <c r="BZ443" t="s">
        <v>99</v>
      </c>
      <c r="CA443" t="s">
        <v>321</v>
      </c>
      <c r="CC443" t="s">
        <v>122</v>
      </c>
      <c r="CD443">
        <v>4000</v>
      </c>
      <c r="CE443" t="s">
        <v>89</v>
      </c>
      <c r="CF443" s="3">
        <v>45936</v>
      </c>
      <c r="CI443">
        <v>2</v>
      </c>
      <c r="CJ443">
        <v>1</v>
      </c>
      <c r="CK443">
        <v>31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"080068335442"</f>
        <v>080068335442</v>
      </c>
      <c r="F444" s="3">
        <v>45936</v>
      </c>
      <c r="G444">
        <v>202607</v>
      </c>
      <c r="H444" t="s">
        <v>79</v>
      </c>
      <c r="I444" t="s">
        <v>80</v>
      </c>
      <c r="J444" t="s">
        <v>91</v>
      </c>
      <c r="K444" t="s">
        <v>78</v>
      </c>
      <c r="L444" t="s">
        <v>168</v>
      </c>
      <c r="M444" t="s">
        <v>169</v>
      </c>
      <c r="N444" t="s">
        <v>923</v>
      </c>
      <c r="O444" t="s">
        <v>95</v>
      </c>
      <c r="P444" t="str">
        <f>"4170062821                    "</f>
        <v xml:space="preserve">4170062821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255.62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134</v>
      </c>
      <c r="BJ444">
        <v>81.7</v>
      </c>
      <c r="BK444">
        <v>134</v>
      </c>
      <c r="BL444">
        <v>817.19</v>
      </c>
      <c r="BM444">
        <v>122.58</v>
      </c>
      <c r="BN444">
        <v>939.77</v>
      </c>
      <c r="BO444">
        <v>939.77</v>
      </c>
      <c r="BQ444" t="s">
        <v>924</v>
      </c>
      <c r="BR444" t="s">
        <v>97</v>
      </c>
      <c r="BS444" s="3">
        <v>45937</v>
      </c>
      <c r="BT444" s="4">
        <v>0.51458333333333328</v>
      </c>
      <c r="BU444" t="s">
        <v>1121</v>
      </c>
      <c r="BV444" t="s">
        <v>86</v>
      </c>
      <c r="BY444">
        <v>408483</v>
      </c>
      <c r="CC444" t="s">
        <v>169</v>
      </c>
      <c r="CD444" s="5" t="s">
        <v>926</v>
      </c>
      <c r="CE444" t="s">
        <v>1122</v>
      </c>
      <c r="CF444" s="3">
        <v>45937</v>
      </c>
      <c r="CI444">
        <v>1</v>
      </c>
      <c r="CJ444">
        <v>1</v>
      </c>
      <c r="CK444">
        <v>41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"080068337490"</f>
        <v>080068337490</v>
      </c>
      <c r="F445" s="3">
        <v>45936</v>
      </c>
      <c r="G445">
        <v>202607</v>
      </c>
      <c r="H445" t="s">
        <v>79</v>
      </c>
      <c r="I445" t="s">
        <v>80</v>
      </c>
      <c r="J445" t="s">
        <v>91</v>
      </c>
      <c r="K445" t="s">
        <v>78</v>
      </c>
      <c r="L445" t="s">
        <v>206</v>
      </c>
      <c r="M445" t="s">
        <v>207</v>
      </c>
      <c r="N445" t="s">
        <v>656</v>
      </c>
      <c r="O445" t="s">
        <v>82</v>
      </c>
      <c r="P445" t="str">
        <f>"4170062791                    "</f>
        <v xml:space="preserve">4170062791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22.36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70.959999999999994</v>
      </c>
      <c r="BM445">
        <v>10.64</v>
      </c>
      <c r="BN445">
        <v>81.599999999999994</v>
      </c>
      <c r="BO445">
        <v>81.599999999999994</v>
      </c>
      <c r="BQ445" t="s">
        <v>657</v>
      </c>
      <c r="BR445" t="s">
        <v>97</v>
      </c>
      <c r="BS445" s="3">
        <v>45937</v>
      </c>
      <c r="BT445" s="4">
        <v>0.4236111111111111</v>
      </c>
      <c r="BU445" t="s">
        <v>658</v>
      </c>
      <c r="BV445" t="s">
        <v>86</v>
      </c>
      <c r="BY445">
        <v>1200</v>
      </c>
      <c r="CA445" t="s">
        <v>211</v>
      </c>
      <c r="CC445" t="s">
        <v>207</v>
      </c>
      <c r="CD445">
        <v>7441</v>
      </c>
      <c r="CE445" t="s">
        <v>147</v>
      </c>
      <c r="CF445" s="3">
        <v>45938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"080068337518"</f>
        <v>080068337518</v>
      </c>
      <c r="F446" s="3">
        <v>45936</v>
      </c>
      <c r="G446">
        <v>202607</v>
      </c>
      <c r="H446" t="s">
        <v>79</v>
      </c>
      <c r="I446" t="s">
        <v>80</v>
      </c>
      <c r="J446" t="s">
        <v>91</v>
      </c>
      <c r="K446" t="s">
        <v>78</v>
      </c>
      <c r="L446" t="s">
        <v>108</v>
      </c>
      <c r="M446" t="s">
        <v>109</v>
      </c>
      <c r="N446" t="s">
        <v>842</v>
      </c>
      <c r="O446" t="s">
        <v>82</v>
      </c>
      <c r="P446" t="str">
        <f>"4170061357                    "</f>
        <v xml:space="preserve">4170061357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39.11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3.4</v>
      </c>
      <c r="BK446">
        <v>3.5</v>
      </c>
      <c r="BL446">
        <v>124.13</v>
      </c>
      <c r="BM446">
        <v>18.62</v>
      </c>
      <c r="BN446">
        <v>142.75</v>
      </c>
      <c r="BO446">
        <v>142.75</v>
      </c>
      <c r="BQ446" t="s">
        <v>843</v>
      </c>
      <c r="BR446" t="s">
        <v>97</v>
      </c>
      <c r="BS446" s="3">
        <v>45937</v>
      </c>
      <c r="BT446" s="4">
        <v>0.42291666666666666</v>
      </c>
      <c r="BU446" t="s">
        <v>1123</v>
      </c>
      <c r="BV446" t="s">
        <v>86</v>
      </c>
      <c r="BY446">
        <v>16965</v>
      </c>
      <c r="CA446" t="s">
        <v>551</v>
      </c>
      <c r="CC446" t="s">
        <v>109</v>
      </c>
      <c r="CD446">
        <v>6012</v>
      </c>
      <c r="CE446" t="s">
        <v>191</v>
      </c>
      <c r="CF446" s="3">
        <v>45937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"080068337545"</f>
        <v>080068337545</v>
      </c>
      <c r="F447" s="3">
        <v>45936</v>
      </c>
      <c r="G447">
        <v>202607</v>
      </c>
      <c r="H447" t="s">
        <v>79</v>
      </c>
      <c r="I447" t="s">
        <v>80</v>
      </c>
      <c r="J447" t="s">
        <v>91</v>
      </c>
      <c r="K447" t="s">
        <v>78</v>
      </c>
      <c r="L447" t="s">
        <v>446</v>
      </c>
      <c r="M447" t="s">
        <v>447</v>
      </c>
      <c r="N447" t="s">
        <v>448</v>
      </c>
      <c r="O447" t="s">
        <v>82</v>
      </c>
      <c r="P447" t="str">
        <f>"4170062945                    "</f>
        <v xml:space="preserve">4170062945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219.35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11</v>
      </c>
      <c r="BJ447">
        <v>1.7</v>
      </c>
      <c r="BK447">
        <v>11</v>
      </c>
      <c r="BL447">
        <v>696.19</v>
      </c>
      <c r="BM447">
        <v>104.43</v>
      </c>
      <c r="BN447">
        <v>800.62</v>
      </c>
      <c r="BO447">
        <v>800.62</v>
      </c>
      <c r="BQ447" t="s">
        <v>449</v>
      </c>
      <c r="BR447" t="s">
        <v>97</v>
      </c>
      <c r="BS447" s="3">
        <v>45937</v>
      </c>
      <c r="BT447" s="4">
        <v>0.50208333333333333</v>
      </c>
      <c r="BU447" t="s">
        <v>450</v>
      </c>
      <c r="BV447" t="s">
        <v>86</v>
      </c>
      <c r="BY447">
        <v>8512</v>
      </c>
      <c r="CA447" t="s">
        <v>1124</v>
      </c>
      <c r="CC447" t="s">
        <v>447</v>
      </c>
      <c r="CD447">
        <v>7130</v>
      </c>
      <c r="CE447" t="s">
        <v>191</v>
      </c>
      <c r="CF447" s="3">
        <v>45938</v>
      </c>
      <c r="CI447">
        <v>1</v>
      </c>
      <c r="CJ447">
        <v>1</v>
      </c>
      <c r="CK447">
        <v>23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"080068337766"</f>
        <v>080068337766</v>
      </c>
      <c r="F448" s="3">
        <v>45936</v>
      </c>
      <c r="G448">
        <v>202607</v>
      </c>
      <c r="H448" t="s">
        <v>79</v>
      </c>
      <c r="I448" t="s">
        <v>80</v>
      </c>
      <c r="J448" t="s">
        <v>91</v>
      </c>
      <c r="K448" t="s">
        <v>78</v>
      </c>
      <c r="L448" t="s">
        <v>148</v>
      </c>
      <c r="M448" t="s">
        <v>149</v>
      </c>
      <c r="N448" t="s">
        <v>465</v>
      </c>
      <c r="O448" t="s">
        <v>82</v>
      </c>
      <c r="P448" t="str">
        <f>"4170062947                    "</f>
        <v xml:space="preserve">4170062947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17.46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55.42</v>
      </c>
      <c r="BM448">
        <v>8.31</v>
      </c>
      <c r="BN448">
        <v>63.73</v>
      </c>
      <c r="BO448">
        <v>63.73</v>
      </c>
      <c r="BQ448" t="s">
        <v>466</v>
      </c>
      <c r="BR448" t="s">
        <v>97</v>
      </c>
      <c r="BS448" s="3">
        <v>45937</v>
      </c>
      <c r="BT448" s="4">
        <v>0.40763888888888888</v>
      </c>
      <c r="BU448" t="s">
        <v>518</v>
      </c>
      <c r="BV448" t="s">
        <v>86</v>
      </c>
      <c r="BY448">
        <v>1200</v>
      </c>
      <c r="CA448" t="s">
        <v>519</v>
      </c>
      <c r="CC448" t="s">
        <v>149</v>
      </c>
      <c r="CD448">
        <v>2094</v>
      </c>
      <c r="CE448" t="s">
        <v>147</v>
      </c>
      <c r="CF448" s="3">
        <v>45937</v>
      </c>
      <c r="CI448">
        <v>1</v>
      </c>
      <c r="CJ448">
        <v>1</v>
      </c>
      <c r="CK448">
        <v>22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"080068337776"</f>
        <v>080068337776</v>
      </c>
      <c r="F449" s="3">
        <v>45936</v>
      </c>
      <c r="G449">
        <v>202607</v>
      </c>
      <c r="H449" t="s">
        <v>79</v>
      </c>
      <c r="I449" t="s">
        <v>80</v>
      </c>
      <c r="J449" t="s">
        <v>91</v>
      </c>
      <c r="K449" t="s">
        <v>78</v>
      </c>
      <c r="L449" t="s">
        <v>959</v>
      </c>
      <c r="M449" t="s">
        <v>960</v>
      </c>
      <c r="N449" t="s">
        <v>961</v>
      </c>
      <c r="O449" t="s">
        <v>82</v>
      </c>
      <c r="P449" t="str">
        <f>"4170062922                    "</f>
        <v xml:space="preserve">4170062922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180.23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3</v>
      </c>
      <c r="BJ449">
        <v>8.6</v>
      </c>
      <c r="BK449">
        <v>9</v>
      </c>
      <c r="BL449">
        <v>572.03</v>
      </c>
      <c r="BM449">
        <v>85.8</v>
      </c>
      <c r="BN449">
        <v>657.83</v>
      </c>
      <c r="BO449">
        <v>657.83</v>
      </c>
      <c r="BQ449" t="s">
        <v>962</v>
      </c>
      <c r="BR449" t="s">
        <v>97</v>
      </c>
      <c r="BS449" s="3">
        <v>45937</v>
      </c>
      <c r="BT449" s="4">
        <v>0.51249999999999996</v>
      </c>
      <c r="BU449" t="s">
        <v>304</v>
      </c>
      <c r="BV449" t="s">
        <v>86</v>
      </c>
      <c r="BY449">
        <v>42840</v>
      </c>
      <c r="CA449" t="s">
        <v>1125</v>
      </c>
      <c r="CC449" t="s">
        <v>960</v>
      </c>
      <c r="CD449">
        <v>6300</v>
      </c>
      <c r="CE449" t="s">
        <v>107</v>
      </c>
      <c r="CF449" s="3">
        <v>45937</v>
      </c>
      <c r="CI449">
        <v>2</v>
      </c>
      <c r="CJ449">
        <v>1</v>
      </c>
      <c r="CK449">
        <v>23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"080068337797"</f>
        <v>080068337797</v>
      </c>
      <c r="F450" s="3">
        <v>45936</v>
      </c>
      <c r="G450">
        <v>202607</v>
      </c>
      <c r="H450" t="s">
        <v>79</v>
      </c>
      <c r="I450" t="s">
        <v>80</v>
      </c>
      <c r="J450" t="s">
        <v>91</v>
      </c>
      <c r="K450" t="s">
        <v>78</v>
      </c>
      <c r="L450" t="s">
        <v>174</v>
      </c>
      <c r="M450" t="s">
        <v>175</v>
      </c>
      <c r="N450" t="s">
        <v>1126</v>
      </c>
      <c r="O450" t="s">
        <v>82</v>
      </c>
      <c r="P450" t="str">
        <f>"4170062911                    "</f>
        <v xml:space="preserve">4170062911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17.46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55.42</v>
      </c>
      <c r="BM450">
        <v>8.31</v>
      </c>
      <c r="BN450">
        <v>63.73</v>
      </c>
      <c r="BO450">
        <v>63.73</v>
      </c>
      <c r="BQ450" t="s">
        <v>1127</v>
      </c>
      <c r="BR450" t="s">
        <v>97</v>
      </c>
      <c r="BS450" s="3">
        <v>45937</v>
      </c>
      <c r="BT450" s="4">
        <v>0.35</v>
      </c>
      <c r="BU450" t="s">
        <v>1128</v>
      </c>
      <c r="BV450" t="s">
        <v>86</v>
      </c>
      <c r="BY450">
        <v>1200</v>
      </c>
      <c r="CA450" t="s">
        <v>984</v>
      </c>
      <c r="CC450" t="s">
        <v>175</v>
      </c>
      <c r="CD450">
        <v>1541</v>
      </c>
      <c r="CE450" t="s">
        <v>147</v>
      </c>
      <c r="CF450" s="3">
        <v>45938</v>
      </c>
      <c r="CI450">
        <v>1</v>
      </c>
      <c r="CJ450">
        <v>1</v>
      </c>
      <c r="CK450">
        <v>22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"080068337946"</f>
        <v>080068337946</v>
      </c>
      <c r="F451" s="3">
        <v>45936</v>
      </c>
      <c r="G451">
        <v>202607</v>
      </c>
      <c r="H451" t="s">
        <v>79</v>
      </c>
      <c r="I451" t="s">
        <v>80</v>
      </c>
      <c r="J451" t="s">
        <v>91</v>
      </c>
      <c r="K451" t="s">
        <v>78</v>
      </c>
      <c r="L451" t="s">
        <v>206</v>
      </c>
      <c r="M451" t="s">
        <v>207</v>
      </c>
      <c r="N451" t="s">
        <v>1129</v>
      </c>
      <c r="O451" t="s">
        <v>82</v>
      </c>
      <c r="P451" t="str">
        <f>"4170062887                    "</f>
        <v xml:space="preserve">4170062887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44.69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3.6</v>
      </c>
      <c r="BK451">
        <v>4</v>
      </c>
      <c r="BL451">
        <v>141.85</v>
      </c>
      <c r="BM451">
        <v>21.28</v>
      </c>
      <c r="BN451">
        <v>163.13</v>
      </c>
      <c r="BO451">
        <v>163.13</v>
      </c>
      <c r="BQ451" t="s">
        <v>1130</v>
      </c>
      <c r="BR451" t="s">
        <v>97</v>
      </c>
      <c r="BS451" s="3">
        <v>45938</v>
      </c>
      <c r="BT451" s="4">
        <v>0.47013888888888888</v>
      </c>
      <c r="BU451" t="s">
        <v>554</v>
      </c>
      <c r="BV451" t="s">
        <v>90</v>
      </c>
      <c r="BY451">
        <v>18096</v>
      </c>
      <c r="CA451" t="s">
        <v>555</v>
      </c>
      <c r="CC451" t="s">
        <v>207</v>
      </c>
      <c r="CD451">
        <v>8000</v>
      </c>
      <c r="CE451" t="s">
        <v>191</v>
      </c>
      <c r="CI451">
        <v>1</v>
      </c>
      <c r="CJ451">
        <v>2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"080068337978"</f>
        <v>080068337978</v>
      </c>
      <c r="F452" s="3">
        <v>45936</v>
      </c>
      <c r="G452">
        <v>202607</v>
      </c>
      <c r="H452" t="s">
        <v>79</v>
      </c>
      <c r="I452" t="s">
        <v>80</v>
      </c>
      <c r="J452" t="s">
        <v>91</v>
      </c>
      <c r="K452" t="s">
        <v>78</v>
      </c>
      <c r="L452" t="s">
        <v>322</v>
      </c>
      <c r="M452" t="s">
        <v>322</v>
      </c>
      <c r="N452" t="s">
        <v>483</v>
      </c>
      <c r="O452" t="s">
        <v>82</v>
      </c>
      <c r="P452" t="str">
        <f>"4170062855                    "</f>
        <v xml:space="preserve">4170062855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121.55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6</v>
      </c>
      <c r="BJ452">
        <v>3.6</v>
      </c>
      <c r="BK452">
        <v>6</v>
      </c>
      <c r="BL452">
        <v>385.79</v>
      </c>
      <c r="BM452">
        <v>57.87</v>
      </c>
      <c r="BN452">
        <v>443.66</v>
      </c>
      <c r="BO452">
        <v>443.66</v>
      </c>
      <c r="BQ452" t="s">
        <v>486</v>
      </c>
      <c r="BR452" t="s">
        <v>97</v>
      </c>
      <c r="BS452" s="3">
        <v>45937</v>
      </c>
      <c r="BT452" s="4">
        <v>0.52569444444444446</v>
      </c>
      <c r="BU452" t="s">
        <v>485</v>
      </c>
      <c r="BV452" t="s">
        <v>86</v>
      </c>
      <c r="BY452">
        <v>18096</v>
      </c>
      <c r="CA452" t="s">
        <v>326</v>
      </c>
      <c r="CC452" t="s">
        <v>322</v>
      </c>
      <c r="CD452">
        <v>7646</v>
      </c>
      <c r="CE452" t="s">
        <v>191</v>
      </c>
      <c r="CF452" s="3">
        <v>45938</v>
      </c>
      <c r="CI452">
        <v>1</v>
      </c>
      <c r="CJ452">
        <v>1</v>
      </c>
      <c r="CK452">
        <v>23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"080068338069"</f>
        <v>080068338069</v>
      </c>
      <c r="F453" s="3">
        <v>45936</v>
      </c>
      <c r="G453">
        <v>202607</v>
      </c>
      <c r="H453" t="s">
        <v>79</v>
      </c>
      <c r="I453" t="s">
        <v>80</v>
      </c>
      <c r="J453" t="s">
        <v>91</v>
      </c>
      <c r="K453" t="s">
        <v>78</v>
      </c>
      <c r="L453" t="s">
        <v>265</v>
      </c>
      <c r="M453" t="s">
        <v>266</v>
      </c>
      <c r="N453" t="s">
        <v>536</v>
      </c>
      <c r="O453" t="s">
        <v>82</v>
      </c>
      <c r="P453" t="str">
        <f>"4170062915                    "</f>
        <v xml:space="preserve">4170062915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22.36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70.959999999999994</v>
      </c>
      <c r="BM453">
        <v>10.64</v>
      </c>
      <c r="BN453">
        <v>81.599999999999994</v>
      </c>
      <c r="BO453">
        <v>81.599999999999994</v>
      </c>
      <c r="BQ453" t="s">
        <v>537</v>
      </c>
      <c r="BR453" t="s">
        <v>97</v>
      </c>
      <c r="BS453" s="3">
        <v>45937</v>
      </c>
      <c r="BT453" s="4">
        <v>0.33402777777777776</v>
      </c>
      <c r="BU453" t="s">
        <v>258</v>
      </c>
      <c r="BV453" t="s">
        <v>86</v>
      </c>
      <c r="BY453">
        <v>1200</v>
      </c>
      <c r="CA453" t="s">
        <v>818</v>
      </c>
      <c r="CC453" t="s">
        <v>266</v>
      </c>
      <c r="CD453">
        <v>6230</v>
      </c>
      <c r="CE453" t="s">
        <v>147</v>
      </c>
      <c r="CF453" s="3">
        <v>45937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"080068338093"</f>
        <v>080068338093</v>
      </c>
      <c r="F454" s="3">
        <v>45936</v>
      </c>
      <c r="G454">
        <v>202607</v>
      </c>
      <c r="H454" t="s">
        <v>79</v>
      </c>
      <c r="I454" t="s">
        <v>80</v>
      </c>
      <c r="J454" t="s">
        <v>91</v>
      </c>
      <c r="K454" t="s">
        <v>78</v>
      </c>
      <c r="L454" t="s">
        <v>79</v>
      </c>
      <c r="M454" t="s">
        <v>80</v>
      </c>
      <c r="N454" t="s">
        <v>694</v>
      </c>
      <c r="O454" t="s">
        <v>82</v>
      </c>
      <c r="P454" t="str">
        <f>"4170062906                    "</f>
        <v xml:space="preserve">4170062906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17.46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55.42</v>
      </c>
      <c r="BM454">
        <v>8.31</v>
      </c>
      <c r="BN454">
        <v>63.73</v>
      </c>
      <c r="BO454">
        <v>63.73</v>
      </c>
      <c r="BQ454" t="s">
        <v>695</v>
      </c>
      <c r="BR454" t="s">
        <v>97</v>
      </c>
      <c r="BS454" s="3">
        <v>45937</v>
      </c>
      <c r="BT454" s="4">
        <v>0.38333333333333336</v>
      </c>
      <c r="BU454" t="s">
        <v>1131</v>
      </c>
      <c r="BV454" t="s">
        <v>86</v>
      </c>
      <c r="BY454">
        <v>1200</v>
      </c>
      <c r="CA454" t="s">
        <v>88</v>
      </c>
      <c r="CC454" t="s">
        <v>80</v>
      </c>
      <c r="CD454">
        <v>1601</v>
      </c>
      <c r="CE454" t="s">
        <v>147</v>
      </c>
      <c r="CF454" s="3">
        <v>45937</v>
      </c>
      <c r="CI454">
        <v>1</v>
      </c>
      <c r="CJ454">
        <v>1</v>
      </c>
      <c r="CK454">
        <v>22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"080068338111"</f>
        <v>080068338111</v>
      </c>
      <c r="F455" s="3">
        <v>45936</v>
      </c>
      <c r="G455">
        <v>202607</v>
      </c>
      <c r="H455" t="s">
        <v>79</v>
      </c>
      <c r="I455" t="s">
        <v>80</v>
      </c>
      <c r="J455" t="s">
        <v>91</v>
      </c>
      <c r="K455" t="s">
        <v>78</v>
      </c>
      <c r="L455" t="s">
        <v>79</v>
      </c>
      <c r="M455" t="s">
        <v>80</v>
      </c>
      <c r="N455" t="s">
        <v>1132</v>
      </c>
      <c r="O455" t="s">
        <v>95</v>
      </c>
      <c r="P455" t="str">
        <f>"4170062920                    "</f>
        <v xml:space="preserve">4170062920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33.36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4</v>
      </c>
      <c r="BJ455">
        <v>2.4</v>
      </c>
      <c r="BK455">
        <v>4</v>
      </c>
      <c r="BL455">
        <v>111.75</v>
      </c>
      <c r="BM455">
        <v>16.760000000000002</v>
      </c>
      <c r="BN455">
        <v>128.51</v>
      </c>
      <c r="BO455">
        <v>128.51</v>
      </c>
      <c r="BQ455" t="s">
        <v>1133</v>
      </c>
      <c r="BR455" t="s">
        <v>97</v>
      </c>
      <c r="BS455" s="3">
        <v>45937</v>
      </c>
      <c r="BT455" s="4">
        <v>0.34791666666666665</v>
      </c>
      <c r="BU455" t="s">
        <v>1134</v>
      </c>
      <c r="BV455" t="s">
        <v>86</v>
      </c>
      <c r="BY455">
        <v>12236</v>
      </c>
      <c r="CA455" t="s">
        <v>1135</v>
      </c>
      <c r="CC455" t="s">
        <v>80</v>
      </c>
      <c r="CD455">
        <v>1685</v>
      </c>
      <c r="CE455" t="s">
        <v>931</v>
      </c>
      <c r="CF455" s="3">
        <v>45938</v>
      </c>
      <c r="CI455">
        <v>1</v>
      </c>
      <c r="CJ455">
        <v>1</v>
      </c>
      <c r="CK455">
        <v>42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"080068338129"</f>
        <v>080068338129</v>
      </c>
      <c r="F456" s="3">
        <v>45936</v>
      </c>
      <c r="G456">
        <v>202607</v>
      </c>
      <c r="H456" t="s">
        <v>79</v>
      </c>
      <c r="I456" t="s">
        <v>80</v>
      </c>
      <c r="J456" t="s">
        <v>91</v>
      </c>
      <c r="K456" t="s">
        <v>78</v>
      </c>
      <c r="L456" t="s">
        <v>108</v>
      </c>
      <c r="M456" t="s">
        <v>109</v>
      </c>
      <c r="N456" t="s">
        <v>1091</v>
      </c>
      <c r="O456" t="s">
        <v>82</v>
      </c>
      <c r="P456" t="str">
        <f>"4170062941                    "</f>
        <v xml:space="preserve">4170062941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22.36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70.959999999999994</v>
      </c>
      <c r="BM456">
        <v>10.64</v>
      </c>
      <c r="BN456">
        <v>81.599999999999994</v>
      </c>
      <c r="BO456">
        <v>81.599999999999994</v>
      </c>
      <c r="BQ456" t="s">
        <v>1092</v>
      </c>
      <c r="BR456" t="s">
        <v>97</v>
      </c>
      <c r="BS456" s="3">
        <v>45937</v>
      </c>
      <c r="BT456" s="4">
        <v>0.42291666666666666</v>
      </c>
      <c r="BU456" t="s">
        <v>1136</v>
      </c>
      <c r="BV456" t="s">
        <v>86</v>
      </c>
      <c r="BY456">
        <v>1200</v>
      </c>
      <c r="CA456" t="s">
        <v>1137</v>
      </c>
      <c r="CC456" t="s">
        <v>109</v>
      </c>
      <c r="CD456">
        <v>6001</v>
      </c>
      <c r="CE456" t="s">
        <v>147</v>
      </c>
      <c r="CF456" s="3">
        <v>45937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"080068338150"</f>
        <v>080068338150</v>
      </c>
      <c r="F457" s="3">
        <v>45936</v>
      </c>
      <c r="G457">
        <v>202607</v>
      </c>
      <c r="H457" t="s">
        <v>79</v>
      </c>
      <c r="I457" t="s">
        <v>80</v>
      </c>
      <c r="J457" t="s">
        <v>91</v>
      </c>
      <c r="K457" t="s">
        <v>78</v>
      </c>
      <c r="L457" t="s">
        <v>446</v>
      </c>
      <c r="M457" t="s">
        <v>447</v>
      </c>
      <c r="N457" t="s">
        <v>448</v>
      </c>
      <c r="O457" t="s">
        <v>82</v>
      </c>
      <c r="P457" t="str">
        <f>"4170063078                    "</f>
        <v xml:space="preserve">4170063078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43.31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1.7</v>
      </c>
      <c r="BK457">
        <v>2</v>
      </c>
      <c r="BL457">
        <v>137.47</v>
      </c>
      <c r="BM457">
        <v>20.62</v>
      </c>
      <c r="BN457">
        <v>158.09</v>
      </c>
      <c r="BO457">
        <v>158.09</v>
      </c>
      <c r="BQ457" t="s">
        <v>449</v>
      </c>
      <c r="BR457" t="s">
        <v>97</v>
      </c>
      <c r="BS457" s="3">
        <v>45937</v>
      </c>
      <c r="BT457" s="4">
        <v>0.50208333333333333</v>
      </c>
      <c r="BU457" t="s">
        <v>450</v>
      </c>
      <c r="BV457" t="s">
        <v>86</v>
      </c>
      <c r="BY457">
        <v>8512</v>
      </c>
      <c r="CA457" t="s">
        <v>1124</v>
      </c>
      <c r="CC457" t="s">
        <v>447</v>
      </c>
      <c r="CD457">
        <v>7130</v>
      </c>
      <c r="CE457" t="s">
        <v>191</v>
      </c>
      <c r="CF457" s="3">
        <v>45938</v>
      </c>
      <c r="CI457">
        <v>1</v>
      </c>
      <c r="CJ457">
        <v>1</v>
      </c>
      <c r="CK457">
        <v>23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"080068338188"</f>
        <v>080068338188</v>
      </c>
      <c r="F458" s="3">
        <v>45936</v>
      </c>
      <c r="G458">
        <v>202607</v>
      </c>
      <c r="H458" t="s">
        <v>79</v>
      </c>
      <c r="I458" t="s">
        <v>80</v>
      </c>
      <c r="J458" t="s">
        <v>91</v>
      </c>
      <c r="K458" t="s">
        <v>78</v>
      </c>
      <c r="L458" t="s">
        <v>884</v>
      </c>
      <c r="M458" t="s">
        <v>885</v>
      </c>
      <c r="N458" t="s">
        <v>886</v>
      </c>
      <c r="O458" t="s">
        <v>82</v>
      </c>
      <c r="P458" t="str">
        <f>"4170063060                    "</f>
        <v xml:space="preserve">4170063060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82.43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1.8</v>
      </c>
      <c r="BJ458">
        <v>3.6</v>
      </c>
      <c r="BK458">
        <v>4</v>
      </c>
      <c r="BL458">
        <v>261.63</v>
      </c>
      <c r="BM458">
        <v>39.24</v>
      </c>
      <c r="BN458">
        <v>300.87</v>
      </c>
      <c r="BO458">
        <v>300.87</v>
      </c>
      <c r="BQ458" t="s">
        <v>887</v>
      </c>
      <c r="BR458" t="s">
        <v>97</v>
      </c>
      <c r="BS458" s="3">
        <v>45937</v>
      </c>
      <c r="BT458" s="4">
        <v>0.33333333333333331</v>
      </c>
      <c r="BU458" t="s">
        <v>888</v>
      </c>
      <c r="BV458" t="s">
        <v>86</v>
      </c>
      <c r="BY458">
        <v>17757.28</v>
      </c>
      <c r="CC458" t="s">
        <v>885</v>
      </c>
      <c r="CD458">
        <v>2740</v>
      </c>
      <c r="CE458" t="s">
        <v>107</v>
      </c>
      <c r="CF458" s="3">
        <v>45938</v>
      </c>
      <c r="CI458">
        <v>1</v>
      </c>
      <c r="CJ458">
        <v>1</v>
      </c>
      <c r="CK458">
        <v>23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"080068338282"</f>
        <v>080068338282</v>
      </c>
      <c r="F459" s="3">
        <v>45936</v>
      </c>
      <c r="G459">
        <v>202607</v>
      </c>
      <c r="H459" t="s">
        <v>79</v>
      </c>
      <c r="I459" t="s">
        <v>80</v>
      </c>
      <c r="J459" t="s">
        <v>91</v>
      </c>
      <c r="K459" t="s">
        <v>78</v>
      </c>
      <c r="L459" t="s">
        <v>92</v>
      </c>
      <c r="M459" t="s">
        <v>93</v>
      </c>
      <c r="N459" t="s">
        <v>597</v>
      </c>
      <c r="O459" t="s">
        <v>82</v>
      </c>
      <c r="P459" t="str">
        <f>"4170062882                    "</f>
        <v xml:space="preserve">4170062882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33.520000000000003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3</v>
      </c>
      <c r="BJ459">
        <v>1.4</v>
      </c>
      <c r="BK459">
        <v>3</v>
      </c>
      <c r="BL459">
        <v>106.4</v>
      </c>
      <c r="BM459">
        <v>15.96</v>
      </c>
      <c r="BN459">
        <v>122.36</v>
      </c>
      <c r="BO459">
        <v>122.36</v>
      </c>
      <c r="BQ459" t="s">
        <v>598</v>
      </c>
      <c r="BR459" t="s">
        <v>97</v>
      </c>
      <c r="BS459" s="3">
        <v>45937</v>
      </c>
      <c r="BT459" s="4">
        <v>0.50416666666666665</v>
      </c>
      <c r="BU459" t="s">
        <v>1138</v>
      </c>
      <c r="BV459" t="s">
        <v>86</v>
      </c>
      <c r="BY459">
        <v>7168</v>
      </c>
      <c r="CA459" t="s">
        <v>1139</v>
      </c>
      <c r="CC459" t="s">
        <v>93</v>
      </c>
      <c r="CD459">
        <v>3201</v>
      </c>
      <c r="CE459" t="s">
        <v>107</v>
      </c>
      <c r="CF459" s="3">
        <v>45938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"080068338414"</f>
        <v>080068338414</v>
      </c>
      <c r="F460" s="3">
        <v>45936</v>
      </c>
      <c r="G460">
        <v>202607</v>
      </c>
      <c r="H460" t="s">
        <v>79</v>
      </c>
      <c r="I460" t="s">
        <v>80</v>
      </c>
      <c r="J460" t="s">
        <v>91</v>
      </c>
      <c r="K460" t="s">
        <v>78</v>
      </c>
      <c r="L460" t="s">
        <v>92</v>
      </c>
      <c r="M460" t="s">
        <v>93</v>
      </c>
      <c r="N460" t="s">
        <v>552</v>
      </c>
      <c r="O460" t="s">
        <v>82</v>
      </c>
      <c r="P460" t="str">
        <f>"4170062902                    "</f>
        <v xml:space="preserve">4170062902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22.36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70.959999999999994</v>
      </c>
      <c r="BM460">
        <v>10.64</v>
      </c>
      <c r="BN460">
        <v>81.599999999999994</v>
      </c>
      <c r="BO460">
        <v>81.599999999999994</v>
      </c>
      <c r="BQ460" t="s">
        <v>553</v>
      </c>
      <c r="BR460" t="s">
        <v>97</v>
      </c>
      <c r="BS460" s="3">
        <v>45937</v>
      </c>
      <c r="BT460" s="4">
        <v>0.4375</v>
      </c>
      <c r="BU460" t="s">
        <v>1140</v>
      </c>
      <c r="BV460" t="s">
        <v>86</v>
      </c>
      <c r="BY460">
        <v>1200</v>
      </c>
      <c r="CA460" t="s">
        <v>1141</v>
      </c>
      <c r="CC460" t="s">
        <v>93</v>
      </c>
      <c r="CD460">
        <v>3201</v>
      </c>
      <c r="CE460" t="s">
        <v>147</v>
      </c>
      <c r="CF460" s="3">
        <v>45938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"080068338443"</f>
        <v>080068338443</v>
      </c>
      <c r="F461" s="3">
        <v>45936</v>
      </c>
      <c r="G461">
        <v>202607</v>
      </c>
      <c r="H461" t="s">
        <v>79</v>
      </c>
      <c r="I461" t="s">
        <v>80</v>
      </c>
      <c r="J461" t="s">
        <v>91</v>
      </c>
      <c r="K461" t="s">
        <v>78</v>
      </c>
      <c r="L461" t="s">
        <v>605</v>
      </c>
      <c r="M461" t="s">
        <v>606</v>
      </c>
      <c r="N461" t="s">
        <v>976</v>
      </c>
      <c r="O461" t="s">
        <v>82</v>
      </c>
      <c r="P461" t="str">
        <f>"4170062940                    "</f>
        <v xml:space="preserve">4170062940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43.31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137.47</v>
      </c>
      <c r="BM461">
        <v>20.62</v>
      </c>
      <c r="BN461">
        <v>158.09</v>
      </c>
      <c r="BO461">
        <v>158.09</v>
      </c>
      <c r="BQ461" t="s">
        <v>977</v>
      </c>
      <c r="BR461" t="s">
        <v>97</v>
      </c>
      <c r="BS461" s="3">
        <v>45937</v>
      </c>
      <c r="BT461" s="4">
        <v>0.38958333333333334</v>
      </c>
      <c r="BU461" t="s">
        <v>1142</v>
      </c>
      <c r="BV461" t="s">
        <v>86</v>
      </c>
      <c r="BY461">
        <v>1200</v>
      </c>
      <c r="CA461" t="s">
        <v>1143</v>
      </c>
      <c r="CC461" t="s">
        <v>606</v>
      </c>
      <c r="CD461">
        <v>1947</v>
      </c>
      <c r="CE461" t="s">
        <v>147</v>
      </c>
      <c r="CF461" s="3">
        <v>45938</v>
      </c>
      <c r="CI461">
        <v>1</v>
      </c>
      <c r="CJ461">
        <v>1</v>
      </c>
      <c r="CK461">
        <v>23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"080068338447"</f>
        <v>080068338447</v>
      </c>
      <c r="F462" s="3">
        <v>45936</v>
      </c>
      <c r="G462">
        <v>202607</v>
      </c>
      <c r="H462" t="s">
        <v>79</v>
      </c>
      <c r="I462" t="s">
        <v>80</v>
      </c>
      <c r="J462" t="s">
        <v>91</v>
      </c>
      <c r="K462" t="s">
        <v>78</v>
      </c>
      <c r="L462" t="s">
        <v>108</v>
      </c>
      <c r="M462" t="s">
        <v>109</v>
      </c>
      <c r="N462" t="s">
        <v>956</v>
      </c>
      <c r="O462" t="s">
        <v>82</v>
      </c>
      <c r="P462" t="str">
        <f>"4170062830                    "</f>
        <v xml:space="preserve">4170062830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55.86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5</v>
      </c>
      <c r="BJ462">
        <v>3.6</v>
      </c>
      <c r="BK462">
        <v>5</v>
      </c>
      <c r="BL462">
        <v>177.3</v>
      </c>
      <c r="BM462">
        <v>26.6</v>
      </c>
      <c r="BN462">
        <v>203.9</v>
      </c>
      <c r="BO462">
        <v>203.9</v>
      </c>
      <c r="BQ462" t="s">
        <v>957</v>
      </c>
      <c r="BR462" t="s">
        <v>97</v>
      </c>
      <c r="BS462" s="3">
        <v>45937</v>
      </c>
      <c r="BT462" s="4">
        <v>0.33611111111111114</v>
      </c>
      <c r="BU462" t="s">
        <v>1144</v>
      </c>
      <c r="BV462" t="s">
        <v>86</v>
      </c>
      <c r="BY462">
        <v>18096</v>
      </c>
      <c r="CA462" t="s">
        <v>1145</v>
      </c>
      <c r="CC462" t="s">
        <v>109</v>
      </c>
      <c r="CD462">
        <v>6001</v>
      </c>
      <c r="CE462" t="s">
        <v>191</v>
      </c>
      <c r="CF462" s="3">
        <v>45937</v>
      </c>
      <c r="CI462">
        <v>1</v>
      </c>
      <c r="CJ462">
        <v>1</v>
      </c>
      <c r="CK462">
        <v>21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"080068338464"</f>
        <v>080068338464</v>
      </c>
      <c r="F463" s="3">
        <v>45936</v>
      </c>
      <c r="G463">
        <v>202607</v>
      </c>
      <c r="H463" t="s">
        <v>79</v>
      </c>
      <c r="I463" t="s">
        <v>80</v>
      </c>
      <c r="J463" t="s">
        <v>91</v>
      </c>
      <c r="K463" t="s">
        <v>78</v>
      </c>
      <c r="L463" t="s">
        <v>75</v>
      </c>
      <c r="M463" t="s">
        <v>76</v>
      </c>
      <c r="N463" t="s">
        <v>1146</v>
      </c>
      <c r="O463" t="s">
        <v>82</v>
      </c>
      <c r="P463" t="str">
        <f>"4170062937                    "</f>
        <v xml:space="preserve">4170062937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17.46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55.42</v>
      </c>
      <c r="BM463">
        <v>8.31</v>
      </c>
      <c r="BN463">
        <v>63.73</v>
      </c>
      <c r="BO463">
        <v>63.73</v>
      </c>
      <c r="BQ463" t="s">
        <v>1147</v>
      </c>
      <c r="BR463" t="s">
        <v>97</v>
      </c>
      <c r="BS463" s="3">
        <v>45937</v>
      </c>
      <c r="BT463" s="4">
        <v>0.39930555555555558</v>
      </c>
      <c r="BU463" t="s">
        <v>1148</v>
      </c>
      <c r="BV463" t="s">
        <v>86</v>
      </c>
      <c r="BY463">
        <v>1200</v>
      </c>
      <c r="CA463" t="s">
        <v>1149</v>
      </c>
      <c r="CC463" t="s">
        <v>76</v>
      </c>
      <c r="CD463">
        <v>2194</v>
      </c>
      <c r="CE463" t="s">
        <v>147</v>
      </c>
      <c r="CF463" s="3">
        <v>45937</v>
      </c>
      <c r="CI463">
        <v>1</v>
      </c>
      <c r="CJ463">
        <v>1</v>
      </c>
      <c r="CK463">
        <v>22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"080068338476"</f>
        <v>080068338476</v>
      </c>
      <c r="F464" s="3">
        <v>45936</v>
      </c>
      <c r="G464">
        <v>202607</v>
      </c>
      <c r="H464" t="s">
        <v>79</v>
      </c>
      <c r="I464" t="s">
        <v>80</v>
      </c>
      <c r="J464" t="s">
        <v>91</v>
      </c>
      <c r="K464" t="s">
        <v>78</v>
      </c>
      <c r="L464" t="s">
        <v>168</v>
      </c>
      <c r="M464" t="s">
        <v>169</v>
      </c>
      <c r="N464" t="s">
        <v>297</v>
      </c>
      <c r="O464" t="s">
        <v>95</v>
      </c>
      <c r="P464" t="str">
        <f>"4170062886                    "</f>
        <v xml:space="preserve">4170062886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43.23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3</v>
      </c>
      <c r="BJ464">
        <v>1.7</v>
      </c>
      <c r="BK464">
        <v>3</v>
      </c>
      <c r="BL464">
        <v>143.08000000000001</v>
      </c>
      <c r="BM464">
        <v>21.46</v>
      </c>
      <c r="BN464">
        <v>164.54</v>
      </c>
      <c r="BO464">
        <v>164.54</v>
      </c>
      <c r="BQ464" t="s">
        <v>298</v>
      </c>
      <c r="BR464" t="s">
        <v>97</v>
      </c>
      <c r="BS464" s="3">
        <v>45938</v>
      </c>
      <c r="BT464" s="4">
        <v>0.45</v>
      </c>
      <c r="BU464" t="s">
        <v>1150</v>
      </c>
      <c r="BV464" t="s">
        <v>90</v>
      </c>
      <c r="BW464" t="s">
        <v>188</v>
      </c>
      <c r="BX464" t="s">
        <v>189</v>
      </c>
      <c r="BY464">
        <v>8512</v>
      </c>
      <c r="CC464" t="s">
        <v>169</v>
      </c>
      <c r="CD464" s="5" t="s">
        <v>190</v>
      </c>
      <c r="CE464" t="s">
        <v>191</v>
      </c>
      <c r="CF464" s="3">
        <v>45938</v>
      </c>
      <c r="CI464">
        <v>1</v>
      </c>
      <c r="CJ464">
        <v>2</v>
      </c>
      <c r="CK464">
        <v>41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"080068338484"</f>
        <v>080068338484</v>
      </c>
      <c r="F465" s="3">
        <v>45936</v>
      </c>
      <c r="G465">
        <v>202607</v>
      </c>
      <c r="H465" t="s">
        <v>79</v>
      </c>
      <c r="I465" t="s">
        <v>80</v>
      </c>
      <c r="J465" t="s">
        <v>91</v>
      </c>
      <c r="K465" t="s">
        <v>78</v>
      </c>
      <c r="L465" t="s">
        <v>168</v>
      </c>
      <c r="M465" t="s">
        <v>169</v>
      </c>
      <c r="N465" t="s">
        <v>688</v>
      </c>
      <c r="O465" t="s">
        <v>82</v>
      </c>
      <c r="P465" t="str">
        <f>"4170062926                    "</f>
        <v xml:space="preserve">4170062926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22.36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70.959999999999994</v>
      </c>
      <c r="BM465">
        <v>10.64</v>
      </c>
      <c r="BN465">
        <v>81.599999999999994</v>
      </c>
      <c r="BO465">
        <v>81.599999999999994</v>
      </c>
      <c r="BQ465" t="s">
        <v>689</v>
      </c>
      <c r="BR465" t="s">
        <v>97</v>
      </c>
      <c r="BS465" s="3">
        <v>45937</v>
      </c>
      <c r="BT465" s="4">
        <v>0.46527777777777779</v>
      </c>
      <c r="BU465" t="s">
        <v>1151</v>
      </c>
      <c r="BV465" t="s">
        <v>90</v>
      </c>
      <c r="BW465" t="s">
        <v>188</v>
      </c>
      <c r="BX465" t="s">
        <v>1152</v>
      </c>
      <c r="BY465">
        <v>1200</v>
      </c>
      <c r="CC465" t="s">
        <v>169</v>
      </c>
      <c r="CD465" s="5" t="s">
        <v>190</v>
      </c>
      <c r="CE465" t="s">
        <v>147</v>
      </c>
      <c r="CF465" s="3">
        <v>45937</v>
      </c>
      <c r="CI465">
        <v>1</v>
      </c>
      <c r="CJ465">
        <v>1</v>
      </c>
      <c r="CK465">
        <v>21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"080068338499"</f>
        <v>080068338499</v>
      </c>
      <c r="F466" s="3">
        <v>45936</v>
      </c>
      <c r="G466">
        <v>202607</v>
      </c>
      <c r="H466" t="s">
        <v>79</v>
      </c>
      <c r="I466" t="s">
        <v>80</v>
      </c>
      <c r="J466" t="s">
        <v>91</v>
      </c>
      <c r="K466" t="s">
        <v>78</v>
      </c>
      <c r="L466" t="s">
        <v>168</v>
      </c>
      <c r="M466" t="s">
        <v>169</v>
      </c>
      <c r="N466" t="s">
        <v>737</v>
      </c>
      <c r="O466" t="s">
        <v>82</v>
      </c>
      <c r="P466" t="str">
        <f>"4170062903                    "</f>
        <v xml:space="preserve">4170062903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22.36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70.959999999999994</v>
      </c>
      <c r="BM466">
        <v>10.64</v>
      </c>
      <c r="BN466">
        <v>81.599999999999994</v>
      </c>
      <c r="BO466">
        <v>81.599999999999994</v>
      </c>
      <c r="BQ466" t="s">
        <v>738</v>
      </c>
      <c r="BR466" t="s">
        <v>97</v>
      </c>
      <c r="BS466" s="3">
        <v>45937</v>
      </c>
      <c r="BT466" s="4">
        <v>0.38194444444444442</v>
      </c>
      <c r="BU466" t="s">
        <v>1153</v>
      </c>
      <c r="BV466" t="s">
        <v>86</v>
      </c>
      <c r="BY466">
        <v>1200</v>
      </c>
      <c r="CC466" t="s">
        <v>169</v>
      </c>
      <c r="CD466" s="5" t="s">
        <v>173</v>
      </c>
      <c r="CE466" t="s">
        <v>147</v>
      </c>
      <c r="CF466" s="3">
        <v>45937</v>
      </c>
      <c r="CI466">
        <v>1</v>
      </c>
      <c r="CJ466">
        <v>1</v>
      </c>
      <c r="CK466">
        <v>21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"080068338504"</f>
        <v>080068338504</v>
      </c>
      <c r="F467" s="3">
        <v>45936</v>
      </c>
      <c r="G467">
        <v>202607</v>
      </c>
      <c r="H467" t="s">
        <v>79</v>
      </c>
      <c r="I467" t="s">
        <v>80</v>
      </c>
      <c r="J467" t="s">
        <v>91</v>
      </c>
      <c r="K467" t="s">
        <v>78</v>
      </c>
      <c r="L467" t="s">
        <v>108</v>
      </c>
      <c r="M467" t="s">
        <v>109</v>
      </c>
      <c r="N467" t="s">
        <v>1154</v>
      </c>
      <c r="O467" t="s">
        <v>82</v>
      </c>
      <c r="P467" t="str">
        <f>"4170062883                    "</f>
        <v xml:space="preserve">4170062883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78.2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7</v>
      </c>
      <c r="BJ467">
        <v>1.7</v>
      </c>
      <c r="BK467">
        <v>7</v>
      </c>
      <c r="BL467">
        <v>248.2</v>
      </c>
      <c r="BM467">
        <v>37.229999999999997</v>
      </c>
      <c r="BN467">
        <v>285.43</v>
      </c>
      <c r="BO467">
        <v>285.43</v>
      </c>
      <c r="BQ467" t="s">
        <v>1155</v>
      </c>
      <c r="BR467" t="s">
        <v>97</v>
      </c>
      <c r="BS467" s="3">
        <v>45937</v>
      </c>
      <c r="BT467" s="4">
        <v>0.43611111111111112</v>
      </c>
      <c r="BU467" t="s">
        <v>1156</v>
      </c>
      <c r="BV467" t="s">
        <v>86</v>
      </c>
      <c r="BY467">
        <v>8550</v>
      </c>
      <c r="CA467" t="s">
        <v>294</v>
      </c>
      <c r="CC467" t="s">
        <v>109</v>
      </c>
      <c r="CD467">
        <v>6070</v>
      </c>
      <c r="CE467" t="s">
        <v>191</v>
      </c>
      <c r="CF467" s="3">
        <v>45937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"080068338517"</f>
        <v>080068338517</v>
      </c>
      <c r="F468" s="3">
        <v>45936</v>
      </c>
      <c r="G468">
        <v>202607</v>
      </c>
      <c r="H468" t="s">
        <v>79</v>
      </c>
      <c r="I468" t="s">
        <v>80</v>
      </c>
      <c r="J468" t="s">
        <v>91</v>
      </c>
      <c r="K468" t="s">
        <v>78</v>
      </c>
      <c r="L468" t="s">
        <v>469</v>
      </c>
      <c r="M468" t="s">
        <v>470</v>
      </c>
      <c r="N468" t="s">
        <v>471</v>
      </c>
      <c r="O468" t="s">
        <v>82</v>
      </c>
      <c r="P468" t="str">
        <f>"4170062982                    "</f>
        <v xml:space="preserve">4170062982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43.31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137.47</v>
      </c>
      <c r="BM468">
        <v>20.62</v>
      </c>
      <c r="BN468">
        <v>158.09</v>
      </c>
      <c r="BO468">
        <v>158.09</v>
      </c>
      <c r="BQ468" t="s">
        <v>472</v>
      </c>
      <c r="BR468" t="s">
        <v>97</v>
      </c>
      <c r="BS468" s="3">
        <v>45937</v>
      </c>
      <c r="BT468" s="4">
        <v>0.49652777777777779</v>
      </c>
      <c r="BU468" t="s">
        <v>1157</v>
      </c>
      <c r="BV468" t="s">
        <v>86</v>
      </c>
      <c r="BY468">
        <v>1200</v>
      </c>
      <c r="CA468" t="s">
        <v>474</v>
      </c>
      <c r="CC468" t="s">
        <v>470</v>
      </c>
      <c r="CD468">
        <v>7299</v>
      </c>
      <c r="CE468" t="s">
        <v>147</v>
      </c>
      <c r="CF468" s="3">
        <v>45938</v>
      </c>
      <c r="CI468">
        <v>1</v>
      </c>
      <c r="CJ468">
        <v>1</v>
      </c>
      <c r="CK468">
        <v>23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"080068338525"</f>
        <v>080068338525</v>
      </c>
      <c r="F469" s="3">
        <v>45936</v>
      </c>
      <c r="G469">
        <v>202607</v>
      </c>
      <c r="H469" t="s">
        <v>79</v>
      </c>
      <c r="I469" t="s">
        <v>80</v>
      </c>
      <c r="J469" t="s">
        <v>91</v>
      </c>
      <c r="K469" t="s">
        <v>78</v>
      </c>
      <c r="L469" t="s">
        <v>108</v>
      </c>
      <c r="M469" t="s">
        <v>109</v>
      </c>
      <c r="N469" t="s">
        <v>229</v>
      </c>
      <c r="O469" t="s">
        <v>82</v>
      </c>
      <c r="P469" t="str">
        <f>"4170062845                    "</f>
        <v xml:space="preserve">4170062845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44.69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4</v>
      </c>
      <c r="BJ469">
        <v>1.7</v>
      </c>
      <c r="BK469">
        <v>4</v>
      </c>
      <c r="BL469">
        <v>141.85</v>
      </c>
      <c r="BM469">
        <v>21.28</v>
      </c>
      <c r="BN469">
        <v>163.13</v>
      </c>
      <c r="BO469">
        <v>163.13</v>
      </c>
      <c r="BQ469" t="s">
        <v>230</v>
      </c>
      <c r="BR469" t="s">
        <v>97</v>
      </c>
      <c r="BS469" s="3">
        <v>45937</v>
      </c>
      <c r="BT469" s="4">
        <v>0.36249999999999999</v>
      </c>
      <c r="BU469" t="s">
        <v>1158</v>
      </c>
      <c r="BV469" t="s">
        <v>86</v>
      </c>
      <c r="BY469">
        <v>8512</v>
      </c>
      <c r="CA469" t="s">
        <v>1145</v>
      </c>
      <c r="CC469" t="s">
        <v>109</v>
      </c>
      <c r="CD469">
        <v>6001</v>
      </c>
      <c r="CE469" t="s">
        <v>191</v>
      </c>
      <c r="CF469" s="3">
        <v>45937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"080068338550"</f>
        <v>080068338550</v>
      </c>
      <c r="F470" s="3">
        <v>45936</v>
      </c>
      <c r="G470">
        <v>202607</v>
      </c>
      <c r="H470" t="s">
        <v>79</v>
      </c>
      <c r="I470" t="s">
        <v>80</v>
      </c>
      <c r="J470" t="s">
        <v>91</v>
      </c>
      <c r="K470" t="s">
        <v>78</v>
      </c>
      <c r="L470" t="s">
        <v>168</v>
      </c>
      <c r="M470" t="s">
        <v>169</v>
      </c>
      <c r="N470" t="s">
        <v>584</v>
      </c>
      <c r="O470" t="s">
        <v>95</v>
      </c>
      <c r="P470" t="str">
        <f>"4170062890                    "</f>
        <v xml:space="preserve">4170062890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43.23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2</v>
      </c>
      <c r="BJ470">
        <v>8.9</v>
      </c>
      <c r="BK470">
        <v>9</v>
      </c>
      <c r="BL470">
        <v>143.08000000000001</v>
      </c>
      <c r="BM470">
        <v>21.46</v>
      </c>
      <c r="BN470">
        <v>164.54</v>
      </c>
      <c r="BO470">
        <v>164.54</v>
      </c>
      <c r="BQ470" t="s">
        <v>585</v>
      </c>
      <c r="BR470" t="s">
        <v>97</v>
      </c>
      <c r="BS470" s="3">
        <v>45937</v>
      </c>
      <c r="BT470" s="4">
        <v>0.4284722222222222</v>
      </c>
      <c r="BU470" t="s">
        <v>1159</v>
      </c>
      <c r="BV470" t="s">
        <v>86</v>
      </c>
      <c r="BY470">
        <v>44640</v>
      </c>
      <c r="CC470" t="s">
        <v>169</v>
      </c>
      <c r="CD470" s="5" t="s">
        <v>190</v>
      </c>
      <c r="CE470" t="s">
        <v>191</v>
      </c>
      <c r="CF470" s="3">
        <v>45937</v>
      </c>
      <c r="CI470">
        <v>1</v>
      </c>
      <c r="CJ470">
        <v>1</v>
      </c>
      <c r="CK470">
        <v>41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"080068338577"</f>
        <v>080068338577</v>
      </c>
      <c r="F471" s="3">
        <v>45936</v>
      </c>
      <c r="G471">
        <v>202607</v>
      </c>
      <c r="H471" t="s">
        <v>79</v>
      </c>
      <c r="I471" t="s">
        <v>80</v>
      </c>
      <c r="J471" t="s">
        <v>91</v>
      </c>
      <c r="K471" t="s">
        <v>78</v>
      </c>
      <c r="L471" t="s">
        <v>148</v>
      </c>
      <c r="M471" t="s">
        <v>149</v>
      </c>
      <c r="N471" t="s">
        <v>497</v>
      </c>
      <c r="O471" t="s">
        <v>82</v>
      </c>
      <c r="P471" t="str">
        <f>"4170063139                    "</f>
        <v xml:space="preserve">4170063139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17.46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16.739999999999998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3.4</v>
      </c>
      <c r="BK471">
        <v>4</v>
      </c>
      <c r="BL471">
        <v>72.16</v>
      </c>
      <c r="BM471">
        <v>10.82</v>
      </c>
      <c r="BN471">
        <v>82.98</v>
      </c>
      <c r="BO471">
        <v>82.98</v>
      </c>
      <c r="BQ471" t="s">
        <v>498</v>
      </c>
      <c r="BR471" t="s">
        <v>97</v>
      </c>
      <c r="BS471" s="3">
        <v>45937</v>
      </c>
      <c r="BT471" s="4">
        <v>0.38541666666666669</v>
      </c>
      <c r="BU471" t="s">
        <v>499</v>
      </c>
      <c r="BV471" t="s">
        <v>86</v>
      </c>
      <c r="BY471">
        <v>16965</v>
      </c>
      <c r="BZ471" t="s">
        <v>30</v>
      </c>
      <c r="CA471" t="s">
        <v>501</v>
      </c>
      <c r="CC471" t="s">
        <v>149</v>
      </c>
      <c r="CD471">
        <v>2188</v>
      </c>
      <c r="CE471" t="s">
        <v>191</v>
      </c>
      <c r="CF471" s="3">
        <v>45938</v>
      </c>
      <c r="CI471">
        <v>1</v>
      </c>
      <c r="CJ471">
        <v>1</v>
      </c>
      <c r="CK471">
        <v>22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"080068338601"</f>
        <v>080068338601</v>
      </c>
      <c r="F472" s="3">
        <v>45936</v>
      </c>
      <c r="G472">
        <v>202607</v>
      </c>
      <c r="H472" t="s">
        <v>79</v>
      </c>
      <c r="I472" t="s">
        <v>80</v>
      </c>
      <c r="J472" t="s">
        <v>91</v>
      </c>
      <c r="K472" t="s">
        <v>78</v>
      </c>
      <c r="L472" t="s">
        <v>79</v>
      </c>
      <c r="M472" t="s">
        <v>80</v>
      </c>
      <c r="N472" t="s">
        <v>357</v>
      </c>
      <c r="O472" t="s">
        <v>226</v>
      </c>
      <c r="P472" t="str">
        <f>"4170062929                    "</f>
        <v xml:space="preserve">4170062929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17.47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4</v>
      </c>
      <c r="BJ472">
        <v>1.7</v>
      </c>
      <c r="BK472">
        <v>4</v>
      </c>
      <c r="BL472">
        <v>55.44</v>
      </c>
      <c r="BM472">
        <v>8.32</v>
      </c>
      <c r="BN472">
        <v>63.76</v>
      </c>
      <c r="BO472">
        <v>63.76</v>
      </c>
      <c r="BQ472" t="s">
        <v>358</v>
      </c>
      <c r="BR472" t="s">
        <v>97</v>
      </c>
      <c r="BS472" s="3">
        <v>45937</v>
      </c>
      <c r="BT472" s="4">
        <v>0.41319444444444442</v>
      </c>
      <c r="BU472" t="s">
        <v>1160</v>
      </c>
      <c r="BV472" t="s">
        <v>86</v>
      </c>
      <c r="BY472">
        <v>8512</v>
      </c>
      <c r="CA472" t="s">
        <v>360</v>
      </c>
      <c r="CC472" t="s">
        <v>80</v>
      </c>
      <c r="CD472">
        <v>1645</v>
      </c>
      <c r="CE472" t="s">
        <v>191</v>
      </c>
      <c r="CF472" s="3">
        <v>45938</v>
      </c>
      <c r="CI472">
        <v>1</v>
      </c>
      <c r="CJ472">
        <v>1</v>
      </c>
      <c r="CK472">
        <v>32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"080068339063"</f>
        <v>080068339063</v>
      </c>
      <c r="F473" s="3">
        <v>45936</v>
      </c>
      <c r="G473">
        <v>202607</v>
      </c>
      <c r="H473" t="s">
        <v>79</v>
      </c>
      <c r="I473" t="s">
        <v>80</v>
      </c>
      <c r="J473" t="s">
        <v>91</v>
      </c>
      <c r="K473" t="s">
        <v>78</v>
      </c>
      <c r="L473" t="s">
        <v>114</v>
      </c>
      <c r="M473" t="s">
        <v>115</v>
      </c>
      <c r="N473" t="s">
        <v>1014</v>
      </c>
      <c r="O473" t="s">
        <v>82</v>
      </c>
      <c r="P473" t="str">
        <f>"4170062964                    "</f>
        <v xml:space="preserve">4170062964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22.36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70.959999999999994</v>
      </c>
      <c r="BM473">
        <v>10.64</v>
      </c>
      <c r="BN473">
        <v>81.599999999999994</v>
      </c>
      <c r="BO473">
        <v>81.599999999999994</v>
      </c>
      <c r="BQ473" t="s">
        <v>1015</v>
      </c>
      <c r="BR473" t="s">
        <v>97</v>
      </c>
      <c r="BS473" s="3">
        <v>45937</v>
      </c>
      <c r="BT473" s="4">
        <v>0.51041666666666663</v>
      </c>
      <c r="BU473" t="s">
        <v>1016</v>
      </c>
      <c r="BV473" t="s">
        <v>90</v>
      </c>
      <c r="BY473">
        <v>1200</v>
      </c>
      <c r="CA473" t="s">
        <v>1017</v>
      </c>
      <c r="CC473" t="s">
        <v>115</v>
      </c>
      <c r="CD473">
        <v>5200</v>
      </c>
      <c r="CE473" t="s">
        <v>147</v>
      </c>
      <c r="CF473" s="3">
        <v>45937</v>
      </c>
      <c r="CI473">
        <v>1</v>
      </c>
      <c r="CJ473">
        <v>1</v>
      </c>
      <c r="CK473">
        <v>21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"080068339073"</f>
        <v>080068339073</v>
      </c>
      <c r="F474" s="3">
        <v>45936</v>
      </c>
      <c r="G474">
        <v>202607</v>
      </c>
      <c r="H474" t="s">
        <v>79</v>
      </c>
      <c r="I474" t="s">
        <v>80</v>
      </c>
      <c r="J474" t="s">
        <v>91</v>
      </c>
      <c r="K474" t="s">
        <v>78</v>
      </c>
      <c r="L474" t="s">
        <v>271</v>
      </c>
      <c r="M474" t="s">
        <v>272</v>
      </c>
      <c r="N474" t="s">
        <v>1161</v>
      </c>
      <c r="O474" t="s">
        <v>226</v>
      </c>
      <c r="P474" t="str">
        <f>"4170062912                    "</f>
        <v xml:space="preserve">4170062912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17.47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1.6</v>
      </c>
      <c r="BK474">
        <v>2</v>
      </c>
      <c r="BL474">
        <v>55.44</v>
      </c>
      <c r="BM474">
        <v>8.32</v>
      </c>
      <c r="BN474">
        <v>63.76</v>
      </c>
      <c r="BO474">
        <v>63.76</v>
      </c>
      <c r="BQ474" t="s">
        <v>1162</v>
      </c>
      <c r="BR474" t="s">
        <v>97</v>
      </c>
      <c r="BS474" s="3">
        <v>45937</v>
      </c>
      <c r="BT474" s="4">
        <v>0.62152777777777779</v>
      </c>
      <c r="BU474" t="s">
        <v>1163</v>
      </c>
      <c r="BV474" t="s">
        <v>86</v>
      </c>
      <c r="BY474">
        <v>8232</v>
      </c>
      <c r="CA474" t="s">
        <v>661</v>
      </c>
      <c r="CC474" t="s">
        <v>272</v>
      </c>
      <c r="CD474">
        <v>1428</v>
      </c>
      <c r="CE474" t="s">
        <v>107</v>
      </c>
      <c r="CF474" s="3">
        <v>45938</v>
      </c>
      <c r="CI474">
        <v>1</v>
      </c>
      <c r="CJ474">
        <v>1</v>
      </c>
      <c r="CK474">
        <v>32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"080068339135"</f>
        <v>080068339135</v>
      </c>
      <c r="F475" s="3">
        <v>45936</v>
      </c>
      <c r="G475">
        <v>202607</v>
      </c>
      <c r="H475" t="s">
        <v>79</v>
      </c>
      <c r="I475" t="s">
        <v>80</v>
      </c>
      <c r="J475" t="s">
        <v>91</v>
      </c>
      <c r="K475" t="s">
        <v>78</v>
      </c>
      <c r="L475" t="s">
        <v>79</v>
      </c>
      <c r="M475" t="s">
        <v>80</v>
      </c>
      <c r="N475" t="s">
        <v>1164</v>
      </c>
      <c r="O475" t="s">
        <v>82</v>
      </c>
      <c r="P475" t="str">
        <f>"4170062954                    "</f>
        <v xml:space="preserve">4170062954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17.46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55.42</v>
      </c>
      <c r="BM475">
        <v>8.31</v>
      </c>
      <c r="BN475">
        <v>63.73</v>
      </c>
      <c r="BO475">
        <v>63.73</v>
      </c>
      <c r="BQ475" t="s">
        <v>1165</v>
      </c>
      <c r="BR475" t="s">
        <v>97</v>
      </c>
      <c r="BS475" s="3">
        <v>45937</v>
      </c>
      <c r="BT475" s="4">
        <v>0.34097222222222223</v>
      </c>
      <c r="BU475" t="s">
        <v>1166</v>
      </c>
      <c r="BV475" t="s">
        <v>86</v>
      </c>
      <c r="BY475">
        <v>1200</v>
      </c>
      <c r="CA475" t="s">
        <v>419</v>
      </c>
      <c r="CC475" t="s">
        <v>80</v>
      </c>
      <c r="CD475">
        <v>1665</v>
      </c>
      <c r="CE475" t="s">
        <v>147</v>
      </c>
      <c r="CF475" s="3">
        <v>45938</v>
      </c>
      <c r="CI475">
        <v>1</v>
      </c>
      <c r="CJ475">
        <v>1</v>
      </c>
      <c r="CK475">
        <v>22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"080068339140"</f>
        <v>080068339140</v>
      </c>
      <c r="F476" s="3">
        <v>45936</v>
      </c>
      <c r="G476">
        <v>202607</v>
      </c>
      <c r="H476" t="s">
        <v>79</v>
      </c>
      <c r="I476" t="s">
        <v>80</v>
      </c>
      <c r="J476" t="s">
        <v>91</v>
      </c>
      <c r="K476" t="s">
        <v>78</v>
      </c>
      <c r="L476" t="s">
        <v>446</v>
      </c>
      <c r="M476" t="s">
        <v>447</v>
      </c>
      <c r="N476" t="s">
        <v>448</v>
      </c>
      <c r="O476" t="s">
        <v>82</v>
      </c>
      <c r="P476" t="str">
        <f>"4170063076                    "</f>
        <v xml:space="preserve">4170063076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43.31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1.7</v>
      </c>
      <c r="BK476">
        <v>2</v>
      </c>
      <c r="BL476">
        <v>137.47</v>
      </c>
      <c r="BM476">
        <v>20.62</v>
      </c>
      <c r="BN476">
        <v>158.09</v>
      </c>
      <c r="BO476">
        <v>158.09</v>
      </c>
      <c r="BQ476" t="s">
        <v>449</v>
      </c>
      <c r="BR476" t="s">
        <v>97</v>
      </c>
      <c r="BS476" s="3">
        <v>45937</v>
      </c>
      <c r="BT476" s="4">
        <v>0.50208333333333333</v>
      </c>
      <c r="BU476" t="s">
        <v>450</v>
      </c>
      <c r="BV476" t="s">
        <v>86</v>
      </c>
      <c r="BY476">
        <v>8512</v>
      </c>
      <c r="CA476" t="s">
        <v>1124</v>
      </c>
      <c r="CC476" t="s">
        <v>447</v>
      </c>
      <c r="CD476">
        <v>7130</v>
      </c>
      <c r="CE476" t="s">
        <v>191</v>
      </c>
      <c r="CF476" s="3">
        <v>45938</v>
      </c>
      <c r="CI476">
        <v>1</v>
      </c>
      <c r="CJ476">
        <v>1</v>
      </c>
      <c r="CK476">
        <v>23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"080068339169"</f>
        <v>080068339169</v>
      </c>
      <c r="F477" s="3">
        <v>45936</v>
      </c>
      <c r="G477">
        <v>202607</v>
      </c>
      <c r="H477" t="s">
        <v>79</v>
      </c>
      <c r="I477" t="s">
        <v>80</v>
      </c>
      <c r="J477" t="s">
        <v>91</v>
      </c>
      <c r="K477" t="s">
        <v>78</v>
      </c>
      <c r="L477" t="s">
        <v>121</v>
      </c>
      <c r="M477" t="s">
        <v>122</v>
      </c>
      <c r="N477" t="s">
        <v>123</v>
      </c>
      <c r="O477" t="s">
        <v>82</v>
      </c>
      <c r="P477" t="str">
        <f>"4170063103                    "</f>
        <v xml:space="preserve">4170063103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22.36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70.959999999999994</v>
      </c>
      <c r="BM477">
        <v>10.64</v>
      </c>
      <c r="BN477">
        <v>81.599999999999994</v>
      </c>
      <c r="BO477">
        <v>81.599999999999994</v>
      </c>
      <c r="BQ477" t="s">
        <v>124</v>
      </c>
      <c r="BR477" t="s">
        <v>97</v>
      </c>
      <c r="BS477" s="3">
        <v>45937</v>
      </c>
      <c r="BT477" s="4">
        <v>0.35416666666666669</v>
      </c>
      <c r="BU477" t="s">
        <v>201</v>
      </c>
      <c r="BV477" t="s">
        <v>86</v>
      </c>
      <c r="BY477">
        <v>1200</v>
      </c>
      <c r="CA477" t="s">
        <v>126</v>
      </c>
      <c r="CC477" t="s">
        <v>122</v>
      </c>
      <c r="CD477">
        <v>4000</v>
      </c>
      <c r="CE477" t="s">
        <v>147</v>
      </c>
      <c r="CF477" s="3">
        <v>45937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"080068339197"</f>
        <v>080068339197</v>
      </c>
      <c r="F478" s="3">
        <v>45936</v>
      </c>
      <c r="G478">
        <v>202607</v>
      </c>
      <c r="H478" t="s">
        <v>79</v>
      </c>
      <c r="I478" t="s">
        <v>80</v>
      </c>
      <c r="J478" t="s">
        <v>91</v>
      </c>
      <c r="K478" t="s">
        <v>78</v>
      </c>
      <c r="L478" t="s">
        <v>239</v>
      </c>
      <c r="M478" t="s">
        <v>240</v>
      </c>
      <c r="N478" t="s">
        <v>526</v>
      </c>
      <c r="O478" t="s">
        <v>82</v>
      </c>
      <c r="P478" t="str">
        <f>"4170062877                    "</f>
        <v xml:space="preserve">4170062877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43.31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1.7</v>
      </c>
      <c r="BJ478">
        <v>1.6</v>
      </c>
      <c r="BK478">
        <v>2</v>
      </c>
      <c r="BL478">
        <v>137.47</v>
      </c>
      <c r="BM478">
        <v>20.62</v>
      </c>
      <c r="BN478">
        <v>158.09</v>
      </c>
      <c r="BO478">
        <v>158.09</v>
      </c>
      <c r="BQ478" t="s">
        <v>527</v>
      </c>
      <c r="BR478" t="s">
        <v>97</v>
      </c>
      <c r="BS478" s="3">
        <v>45937</v>
      </c>
      <c r="BT478" s="4">
        <v>0.41944444444444445</v>
      </c>
      <c r="BU478" t="s">
        <v>528</v>
      </c>
      <c r="BV478" t="s">
        <v>86</v>
      </c>
      <c r="BY478">
        <v>7767.36</v>
      </c>
      <c r="CA478" t="s">
        <v>529</v>
      </c>
      <c r="CC478" t="s">
        <v>240</v>
      </c>
      <c r="CD478" s="5" t="s">
        <v>245</v>
      </c>
      <c r="CE478" t="s">
        <v>191</v>
      </c>
      <c r="CF478" s="3">
        <v>45938</v>
      </c>
      <c r="CI478">
        <v>1</v>
      </c>
      <c r="CJ478">
        <v>1</v>
      </c>
      <c r="CK478">
        <v>23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"080068339241"</f>
        <v>080068339241</v>
      </c>
      <c r="F479" s="3">
        <v>45936</v>
      </c>
      <c r="G479">
        <v>202607</v>
      </c>
      <c r="H479" t="s">
        <v>79</v>
      </c>
      <c r="I479" t="s">
        <v>80</v>
      </c>
      <c r="J479" t="s">
        <v>91</v>
      </c>
      <c r="K479" t="s">
        <v>78</v>
      </c>
      <c r="L479" t="s">
        <v>148</v>
      </c>
      <c r="M479" t="s">
        <v>149</v>
      </c>
      <c r="N479" t="s">
        <v>465</v>
      </c>
      <c r="O479" t="s">
        <v>82</v>
      </c>
      <c r="P479" t="str">
        <f>"4170063031                    "</f>
        <v xml:space="preserve">4170063031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17.46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3</v>
      </c>
      <c r="BJ479">
        <v>0.9</v>
      </c>
      <c r="BK479">
        <v>3</v>
      </c>
      <c r="BL479">
        <v>55.42</v>
      </c>
      <c r="BM479">
        <v>8.31</v>
      </c>
      <c r="BN479">
        <v>63.73</v>
      </c>
      <c r="BO479">
        <v>63.73</v>
      </c>
      <c r="BQ479" t="s">
        <v>466</v>
      </c>
      <c r="BR479" t="s">
        <v>97</v>
      </c>
      <c r="BS479" s="3">
        <v>45937</v>
      </c>
      <c r="BT479" s="4">
        <v>0.40416666666666667</v>
      </c>
      <c r="BU479" t="s">
        <v>518</v>
      </c>
      <c r="BV479" t="s">
        <v>86</v>
      </c>
      <c r="BY479">
        <v>4275</v>
      </c>
      <c r="CA479" t="s">
        <v>519</v>
      </c>
      <c r="CC479" t="s">
        <v>149</v>
      </c>
      <c r="CD479">
        <v>2094</v>
      </c>
      <c r="CE479" t="s">
        <v>191</v>
      </c>
      <c r="CF479" s="3">
        <v>45937</v>
      </c>
      <c r="CI479">
        <v>1</v>
      </c>
      <c r="CJ479">
        <v>1</v>
      </c>
      <c r="CK479">
        <v>22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"080068339246"</f>
        <v>080068339246</v>
      </c>
      <c r="F480" s="3">
        <v>45936</v>
      </c>
      <c r="G480">
        <v>202607</v>
      </c>
      <c r="H480" t="s">
        <v>79</v>
      </c>
      <c r="I480" t="s">
        <v>80</v>
      </c>
      <c r="J480" t="s">
        <v>91</v>
      </c>
      <c r="K480" t="s">
        <v>78</v>
      </c>
      <c r="L480" t="s">
        <v>114</v>
      </c>
      <c r="M480" t="s">
        <v>115</v>
      </c>
      <c r="N480" t="s">
        <v>881</v>
      </c>
      <c r="O480" t="s">
        <v>82</v>
      </c>
      <c r="P480" t="str">
        <f>"4170062961                    "</f>
        <v xml:space="preserve">4170062961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22.36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70.959999999999994</v>
      </c>
      <c r="BM480">
        <v>10.64</v>
      </c>
      <c r="BN480">
        <v>81.599999999999994</v>
      </c>
      <c r="BO480">
        <v>81.599999999999994</v>
      </c>
      <c r="BQ480" t="s">
        <v>882</v>
      </c>
      <c r="BR480" t="s">
        <v>97</v>
      </c>
      <c r="BS480" s="3">
        <v>45937</v>
      </c>
      <c r="BT480" s="4">
        <v>0.52361111111111114</v>
      </c>
      <c r="BU480" t="s">
        <v>1167</v>
      </c>
      <c r="BV480" t="s">
        <v>90</v>
      </c>
      <c r="BY480">
        <v>1200</v>
      </c>
      <c r="CC480" t="s">
        <v>115</v>
      </c>
      <c r="CD480">
        <v>5201</v>
      </c>
      <c r="CE480" t="s">
        <v>147</v>
      </c>
      <c r="CF480" s="3">
        <v>45937</v>
      </c>
      <c r="CI480">
        <v>1</v>
      </c>
      <c r="CJ480">
        <v>1</v>
      </c>
      <c r="CK480">
        <v>21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"080068339276"</f>
        <v>080068339276</v>
      </c>
      <c r="F481" s="3">
        <v>45936</v>
      </c>
      <c r="G481">
        <v>202607</v>
      </c>
      <c r="H481" t="s">
        <v>79</v>
      </c>
      <c r="I481" t="s">
        <v>80</v>
      </c>
      <c r="J481" t="s">
        <v>91</v>
      </c>
      <c r="K481" t="s">
        <v>78</v>
      </c>
      <c r="L481" t="s">
        <v>350</v>
      </c>
      <c r="M481" t="s">
        <v>351</v>
      </c>
      <c r="N481" t="s">
        <v>352</v>
      </c>
      <c r="O481" t="s">
        <v>82</v>
      </c>
      <c r="P481" t="str">
        <f>"4170062927                    "</f>
        <v xml:space="preserve">4170062927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43.31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1.1000000000000001</v>
      </c>
      <c r="BK481">
        <v>1.5</v>
      </c>
      <c r="BL481">
        <v>137.47</v>
      </c>
      <c r="BM481">
        <v>20.62</v>
      </c>
      <c r="BN481">
        <v>158.09</v>
      </c>
      <c r="BO481">
        <v>158.09</v>
      </c>
      <c r="BQ481" t="s">
        <v>353</v>
      </c>
      <c r="BR481" t="s">
        <v>97</v>
      </c>
      <c r="BS481" s="3">
        <v>45937</v>
      </c>
      <c r="BT481" s="4">
        <v>0.43263888888888891</v>
      </c>
      <c r="BU481" t="s">
        <v>354</v>
      </c>
      <c r="BV481" t="s">
        <v>86</v>
      </c>
      <c r="BY481">
        <v>5320</v>
      </c>
      <c r="CA481" t="s">
        <v>355</v>
      </c>
      <c r="CC481" t="s">
        <v>351</v>
      </c>
      <c r="CD481" s="5" t="s">
        <v>356</v>
      </c>
      <c r="CE481" t="s">
        <v>191</v>
      </c>
      <c r="CF481" s="3">
        <v>45938</v>
      </c>
      <c r="CI481">
        <v>1</v>
      </c>
      <c r="CJ481">
        <v>1</v>
      </c>
      <c r="CK481">
        <v>23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"080068339311"</f>
        <v>080068339311</v>
      </c>
      <c r="F482" s="3">
        <v>45936</v>
      </c>
      <c r="G482">
        <v>202607</v>
      </c>
      <c r="H482" t="s">
        <v>79</v>
      </c>
      <c r="I482" t="s">
        <v>80</v>
      </c>
      <c r="J482" t="s">
        <v>91</v>
      </c>
      <c r="K482" t="s">
        <v>78</v>
      </c>
      <c r="L482" t="s">
        <v>271</v>
      </c>
      <c r="M482" t="s">
        <v>272</v>
      </c>
      <c r="N482" t="s">
        <v>443</v>
      </c>
      <c r="O482" t="s">
        <v>82</v>
      </c>
      <c r="P482" t="str">
        <f>"4170062928                    "</f>
        <v xml:space="preserve">4170062928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17.46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3</v>
      </c>
      <c r="BJ482">
        <v>0.9</v>
      </c>
      <c r="BK482">
        <v>3</v>
      </c>
      <c r="BL482">
        <v>55.42</v>
      </c>
      <c r="BM482">
        <v>8.31</v>
      </c>
      <c r="BN482">
        <v>63.73</v>
      </c>
      <c r="BO482">
        <v>63.73</v>
      </c>
      <c r="BQ482" t="s">
        <v>444</v>
      </c>
      <c r="BR482" t="s">
        <v>97</v>
      </c>
      <c r="BS482" s="3">
        <v>45937</v>
      </c>
      <c r="BT482" s="4">
        <v>0.43055555555555558</v>
      </c>
      <c r="BU482" t="s">
        <v>660</v>
      </c>
      <c r="BV482" t="s">
        <v>86</v>
      </c>
      <c r="BY482">
        <v>4560</v>
      </c>
      <c r="CA482" t="s">
        <v>661</v>
      </c>
      <c r="CC482" t="s">
        <v>272</v>
      </c>
      <c r="CD482">
        <v>1428</v>
      </c>
      <c r="CE482" t="s">
        <v>191</v>
      </c>
      <c r="CF482" s="3">
        <v>45938</v>
      </c>
      <c r="CI482">
        <v>1</v>
      </c>
      <c r="CJ482">
        <v>1</v>
      </c>
      <c r="CK482">
        <v>22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"080068339369"</f>
        <v>080068339369</v>
      </c>
      <c r="F483" s="3">
        <v>45936</v>
      </c>
      <c r="G483">
        <v>202607</v>
      </c>
      <c r="H483" t="s">
        <v>79</v>
      </c>
      <c r="I483" t="s">
        <v>80</v>
      </c>
      <c r="J483" t="s">
        <v>91</v>
      </c>
      <c r="K483" t="s">
        <v>78</v>
      </c>
      <c r="L483" t="s">
        <v>206</v>
      </c>
      <c r="M483" t="s">
        <v>207</v>
      </c>
      <c r="N483" t="s">
        <v>656</v>
      </c>
      <c r="O483" t="s">
        <v>82</v>
      </c>
      <c r="P483" t="str">
        <f>"4170062909                    "</f>
        <v xml:space="preserve">4170062909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22.36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70.959999999999994</v>
      </c>
      <c r="BM483">
        <v>10.64</v>
      </c>
      <c r="BN483">
        <v>81.599999999999994</v>
      </c>
      <c r="BO483">
        <v>81.599999999999994</v>
      </c>
      <c r="BQ483" t="s">
        <v>657</v>
      </c>
      <c r="BR483" t="s">
        <v>97</v>
      </c>
      <c r="BS483" s="3">
        <v>45937</v>
      </c>
      <c r="BT483" s="4">
        <v>0.4236111111111111</v>
      </c>
      <c r="BU483" t="s">
        <v>658</v>
      </c>
      <c r="BV483" t="s">
        <v>86</v>
      </c>
      <c r="BY483">
        <v>1200</v>
      </c>
      <c r="CA483" t="s">
        <v>211</v>
      </c>
      <c r="CC483" t="s">
        <v>207</v>
      </c>
      <c r="CD483">
        <v>7441</v>
      </c>
      <c r="CE483" t="s">
        <v>147</v>
      </c>
      <c r="CF483" s="3">
        <v>45938</v>
      </c>
      <c r="CI483">
        <v>1</v>
      </c>
      <c r="CJ483">
        <v>1</v>
      </c>
      <c r="CK483">
        <v>21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"080068339412"</f>
        <v>080068339412</v>
      </c>
      <c r="F484" s="3">
        <v>45936</v>
      </c>
      <c r="G484">
        <v>202607</v>
      </c>
      <c r="H484" t="s">
        <v>79</v>
      </c>
      <c r="I484" t="s">
        <v>80</v>
      </c>
      <c r="J484" t="s">
        <v>91</v>
      </c>
      <c r="K484" t="s">
        <v>78</v>
      </c>
      <c r="L484" t="s">
        <v>108</v>
      </c>
      <c r="M484" t="s">
        <v>109</v>
      </c>
      <c r="N484" t="s">
        <v>256</v>
      </c>
      <c r="O484" t="s">
        <v>82</v>
      </c>
      <c r="P484" t="str">
        <f>"4170062925                    "</f>
        <v xml:space="preserve">4170062925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22.36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70.959999999999994</v>
      </c>
      <c r="BM484">
        <v>10.64</v>
      </c>
      <c r="BN484">
        <v>81.599999999999994</v>
      </c>
      <c r="BO484">
        <v>81.599999999999994</v>
      </c>
      <c r="BQ484" t="s">
        <v>257</v>
      </c>
      <c r="BR484" t="s">
        <v>97</v>
      </c>
      <c r="BS484" s="3">
        <v>45937</v>
      </c>
      <c r="BT484" s="4">
        <v>0.35972222222222222</v>
      </c>
      <c r="BU484" t="s">
        <v>1168</v>
      </c>
      <c r="BV484" t="s">
        <v>86</v>
      </c>
      <c r="BY484">
        <v>1200</v>
      </c>
      <c r="CA484" t="s">
        <v>142</v>
      </c>
      <c r="CC484" t="s">
        <v>109</v>
      </c>
      <c r="CD484">
        <v>6001</v>
      </c>
      <c r="CE484" t="s">
        <v>147</v>
      </c>
      <c r="CF484" s="3">
        <v>45937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"080068339477"</f>
        <v>080068339477</v>
      </c>
      <c r="F485" s="3">
        <v>45936</v>
      </c>
      <c r="G485">
        <v>202607</v>
      </c>
      <c r="H485" t="s">
        <v>79</v>
      </c>
      <c r="I485" t="s">
        <v>80</v>
      </c>
      <c r="J485" t="s">
        <v>91</v>
      </c>
      <c r="K485" t="s">
        <v>78</v>
      </c>
      <c r="L485" t="s">
        <v>542</v>
      </c>
      <c r="M485" t="s">
        <v>543</v>
      </c>
      <c r="N485" t="s">
        <v>915</v>
      </c>
      <c r="O485" t="s">
        <v>82</v>
      </c>
      <c r="P485" t="str">
        <f>"4170063065                    "</f>
        <v xml:space="preserve">4170063065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17.46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55.42</v>
      </c>
      <c r="BM485">
        <v>8.31</v>
      </c>
      <c r="BN485">
        <v>63.73</v>
      </c>
      <c r="BO485">
        <v>63.73</v>
      </c>
      <c r="BQ485" t="s">
        <v>916</v>
      </c>
      <c r="BR485" t="s">
        <v>97</v>
      </c>
      <c r="BS485" s="3">
        <v>45937</v>
      </c>
      <c r="BT485" s="4">
        <v>0.42499999999999999</v>
      </c>
      <c r="BU485" t="s">
        <v>1169</v>
      </c>
      <c r="BV485" t="s">
        <v>86</v>
      </c>
      <c r="BY485">
        <v>1200</v>
      </c>
      <c r="CA485" t="s">
        <v>918</v>
      </c>
      <c r="CC485" t="s">
        <v>543</v>
      </c>
      <c r="CD485">
        <v>1682</v>
      </c>
      <c r="CE485" t="s">
        <v>147</v>
      </c>
      <c r="CF485" s="3">
        <v>45938</v>
      </c>
      <c r="CI485">
        <v>1</v>
      </c>
      <c r="CJ485">
        <v>1</v>
      </c>
      <c r="CK485">
        <v>22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"080068339559"</f>
        <v>080068339559</v>
      </c>
      <c r="F486" s="3">
        <v>45936</v>
      </c>
      <c r="G486">
        <v>202607</v>
      </c>
      <c r="H486" t="s">
        <v>79</v>
      </c>
      <c r="I486" t="s">
        <v>80</v>
      </c>
      <c r="J486" t="s">
        <v>91</v>
      </c>
      <c r="K486" t="s">
        <v>78</v>
      </c>
      <c r="L486" t="s">
        <v>206</v>
      </c>
      <c r="M486" t="s">
        <v>207</v>
      </c>
      <c r="N486" t="s">
        <v>1170</v>
      </c>
      <c r="O486" t="s">
        <v>82</v>
      </c>
      <c r="P486" t="str">
        <f>"4170063004                    "</f>
        <v xml:space="preserve">4170063004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22.36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70.959999999999994</v>
      </c>
      <c r="BM486">
        <v>10.64</v>
      </c>
      <c r="BN486">
        <v>81.599999999999994</v>
      </c>
      <c r="BO486">
        <v>81.599999999999994</v>
      </c>
      <c r="BQ486" t="s">
        <v>1171</v>
      </c>
      <c r="BR486" t="s">
        <v>97</v>
      </c>
      <c r="BS486" s="3">
        <v>45937</v>
      </c>
      <c r="BT486" s="4">
        <v>0.37291666666666667</v>
      </c>
      <c r="BU486" t="s">
        <v>1172</v>
      </c>
      <c r="BV486" t="s">
        <v>86</v>
      </c>
      <c r="BY486">
        <v>1200</v>
      </c>
      <c r="CA486" t="s">
        <v>1173</v>
      </c>
      <c r="CC486" t="s">
        <v>207</v>
      </c>
      <c r="CD486">
        <v>7764</v>
      </c>
      <c r="CE486" t="s">
        <v>147</v>
      </c>
      <c r="CF486" s="3">
        <v>45938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"080068339571"</f>
        <v>080068339571</v>
      </c>
      <c r="F487" s="3">
        <v>45936</v>
      </c>
      <c r="G487">
        <v>202607</v>
      </c>
      <c r="H487" t="s">
        <v>79</v>
      </c>
      <c r="I487" t="s">
        <v>80</v>
      </c>
      <c r="J487" t="s">
        <v>91</v>
      </c>
      <c r="K487" t="s">
        <v>78</v>
      </c>
      <c r="L487" t="s">
        <v>206</v>
      </c>
      <c r="M487" t="s">
        <v>207</v>
      </c>
      <c r="N487" t="s">
        <v>611</v>
      </c>
      <c r="O487" t="s">
        <v>82</v>
      </c>
      <c r="P487" t="str">
        <f>"4170063003                    "</f>
        <v xml:space="preserve">4170063003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22.36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70.959999999999994</v>
      </c>
      <c r="BM487">
        <v>10.64</v>
      </c>
      <c r="BN487">
        <v>81.599999999999994</v>
      </c>
      <c r="BO487">
        <v>81.599999999999994</v>
      </c>
      <c r="BQ487" t="s">
        <v>612</v>
      </c>
      <c r="BR487" t="s">
        <v>97</v>
      </c>
      <c r="BS487" s="3">
        <v>45937</v>
      </c>
      <c r="BT487" s="4">
        <v>0.39097222222222222</v>
      </c>
      <c r="BU487" t="s">
        <v>1174</v>
      </c>
      <c r="BV487" t="s">
        <v>86</v>
      </c>
      <c r="BY487">
        <v>1200</v>
      </c>
      <c r="CA487" t="s">
        <v>423</v>
      </c>
      <c r="CC487" t="s">
        <v>207</v>
      </c>
      <c r="CD487">
        <v>7530</v>
      </c>
      <c r="CE487" t="s">
        <v>147</v>
      </c>
      <c r="CF487" s="3">
        <v>45938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"080068339613"</f>
        <v>080068339613</v>
      </c>
      <c r="F488" s="3">
        <v>45936</v>
      </c>
      <c r="G488">
        <v>202607</v>
      </c>
      <c r="H488" t="s">
        <v>79</v>
      </c>
      <c r="I488" t="s">
        <v>80</v>
      </c>
      <c r="J488" t="s">
        <v>91</v>
      </c>
      <c r="K488" t="s">
        <v>78</v>
      </c>
      <c r="L488" t="s">
        <v>763</v>
      </c>
      <c r="M488" t="s">
        <v>764</v>
      </c>
      <c r="N488" t="s">
        <v>765</v>
      </c>
      <c r="O488" t="s">
        <v>82</v>
      </c>
      <c r="P488" t="str">
        <f>"4170062923                    "</f>
        <v xml:space="preserve">4170062923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43.31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137.47</v>
      </c>
      <c r="BM488">
        <v>20.62</v>
      </c>
      <c r="BN488">
        <v>158.09</v>
      </c>
      <c r="BO488">
        <v>158.09</v>
      </c>
      <c r="BQ488" t="s">
        <v>766</v>
      </c>
      <c r="BR488" t="s">
        <v>97</v>
      </c>
      <c r="BS488" s="3">
        <v>45937</v>
      </c>
      <c r="BT488" s="4">
        <v>0.42638888888888887</v>
      </c>
      <c r="BU488" t="s">
        <v>1175</v>
      </c>
      <c r="BV488" t="s">
        <v>86</v>
      </c>
      <c r="BY488">
        <v>1200</v>
      </c>
      <c r="CA488" t="s">
        <v>768</v>
      </c>
      <c r="CC488" t="s">
        <v>764</v>
      </c>
      <c r="CD488">
        <v>2531</v>
      </c>
      <c r="CE488" t="s">
        <v>147</v>
      </c>
      <c r="CF488" s="3">
        <v>45938</v>
      </c>
      <c r="CI488">
        <v>1</v>
      </c>
      <c r="CJ488">
        <v>1</v>
      </c>
      <c r="CK488">
        <v>23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"080068339623"</f>
        <v>080068339623</v>
      </c>
      <c r="F489" s="3">
        <v>45936</v>
      </c>
      <c r="G489">
        <v>202607</v>
      </c>
      <c r="H489" t="s">
        <v>79</v>
      </c>
      <c r="I489" t="s">
        <v>80</v>
      </c>
      <c r="J489" t="s">
        <v>91</v>
      </c>
      <c r="K489" t="s">
        <v>78</v>
      </c>
      <c r="L489" t="s">
        <v>108</v>
      </c>
      <c r="M489" t="s">
        <v>109</v>
      </c>
      <c r="N489" t="s">
        <v>229</v>
      </c>
      <c r="O489" t="s">
        <v>82</v>
      </c>
      <c r="P489" t="str">
        <f>"4170062933                    "</f>
        <v xml:space="preserve">4170062933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22.36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70.959999999999994</v>
      </c>
      <c r="BM489">
        <v>10.64</v>
      </c>
      <c r="BN489">
        <v>81.599999999999994</v>
      </c>
      <c r="BO489">
        <v>81.599999999999994</v>
      </c>
      <c r="BQ489" t="s">
        <v>230</v>
      </c>
      <c r="BR489" t="s">
        <v>97</v>
      </c>
      <c r="BS489" s="3">
        <v>45937</v>
      </c>
      <c r="BT489" s="4">
        <v>0.36249999999999999</v>
      </c>
      <c r="BU489" t="s">
        <v>1158</v>
      </c>
      <c r="BV489" t="s">
        <v>86</v>
      </c>
      <c r="BY489">
        <v>1200</v>
      </c>
      <c r="CA489" t="s">
        <v>1145</v>
      </c>
      <c r="CC489" t="s">
        <v>109</v>
      </c>
      <c r="CD489">
        <v>6001</v>
      </c>
      <c r="CE489" t="s">
        <v>147</v>
      </c>
      <c r="CF489" s="3">
        <v>45937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"080068339662"</f>
        <v>080068339662</v>
      </c>
      <c r="F490" s="3">
        <v>45936</v>
      </c>
      <c r="G490">
        <v>202607</v>
      </c>
      <c r="H490" t="s">
        <v>79</v>
      </c>
      <c r="I490" t="s">
        <v>80</v>
      </c>
      <c r="J490" t="s">
        <v>91</v>
      </c>
      <c r="K490" t="s">
        <v>78</v>
      </c>
      <c r="L490" t="s">
        <v>168</v>
      </c>
      <c r="M490" t="s">
        <v>169</v>
      </c>
      <c r="N490" t="s">
        <v>584</v>
      </c>
      <c r="O490" t="s">
        <v>82</v>
      </c>
      <c r="P490" t="str">
        <f>"4170062997                    "</f>
        <v xml:space="preserve">4170062997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22.36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70.959999999999994</v>
      </c>
      <c r="BM490">
        <v>10.64</v>
      </c>
      <c r="BN490">
        <v>81.599999999999994</v>
      </c>
      <c r="BO490">
        <v>81.599999999999994</v>
      </c>
      <c r="BQ490" t="s">
        <v>585</v>
      </c>
      <c r="BR490" t="s">
        <v>97</v>
      </c>
      <c r="BS490" s="3">
        <v>45937</v>
      </c>
      <c r="BT490" s="4">
        <v>0.4284722222222222</v>
      </c>
      <c r="BU490" t="s">
        <v>1159</v>
      </c>
      <c r="BV490" t="s">
        <v>86</v>
      </c>
      <c r="BY490">
        <v>1200</v>
      </c>
      <c r="CC490" t="s">
        <v>169</v>
      </c>
      <c r="CD490" s="5" t="s">
        <v>190</v>
      </c>
      <c r="CE490" t="s">
        <v>147</v>
      </c>
      <c r="CF490" s="3">
        <v>45937</v>
      </c>
      <c r="CI490">
        <v>1</v>
      </c>
      <c r="CJ490">
        <v>1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"080068339671"</f>
        <v>080068339671</v>
      </c>
      <c r="F491" s="3">
        <v>45936</v>
      </c>
      <c r="G491">
        <v>202607</v>
      </c>
      <c r="H491" t="s">
        <v>79</v>
      </c>
      <c r="I491" t="s">
        <v>80</v>
      </c>
      <c r="J491" t="s">
        <v>91</v>
      </c>
      <c r="K491" t="s">
        <v>78</v>
      </c>
      <c r="L491" t="s">
        <v>168</v>
      </c>
      <c r="M491" t="s">
        <v>169</v>
      </c>
      <c r="N491" t="s">
        <v>170</v>
      </c>
      <c r="O491" t="s">
        <v>82</v>
      </c>
      <c r="P491" t="str">
        <f>"4170062992                    "</f>
        <v xml:space="preserve">4170062992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22.36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70.959999999999994</v>
      </c>
      <c r="BM491">
        <v>10.64</v>
      </c>
      <c r="BN491">
        <v>81.599999999999994</v>
      </c>
      <c r="BO491">
        <v>81.599999999999994</v>
      </c>
      <c r="BQ491" t="s">
        <v>171</v>
      </c>
      <c r="BR491" t="s">
        <v>97</v>
      </c>
      <c r="BS491" s="3">
        <v>45937</v>
      </c>
      <c r="BT491" s="4">
        <v>0.38194444444444442</v>
      </c>
      <c r="BU491" t="s">
        <v>332</v>
      </c>
      <c r="BV491" t="s">
        <v>86</v>
      </c>
      <c r="BY491">
        <v>1200</v>
      </c>
      <c r="CC491" t="s">
        <v>169</v>
      </c>
      <c r="CD491" s="5" t="s">
        <v>173</v>
      </c>
      <c r="CE491" t="s">
        <v>147</v>
      </c>
      <c r="CF491" s="3">
        <v>45937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"080068339721"</f>
        <v>080068339721</v>
      </c>
      <c r="F492" s="3">
        <v>45936</v>
      </c>
      <c r="G492">
        <v>202607</v>
      </c>
      <c r="H492" t="s">
        <v>79</v>
      </c>
      <c r="I492" t="s">
        <v>80</v>
      </c>
      <c r="J492" t="s">
        <v>91</v>
      </c>
      <c r="K492" t="s">
        <v>78</v>
      </c>
      <c r="L492" t="s">
        <v>206</v>
      </c>
      <c r="M492" t="s">
        <v>207</v>
      </c>
      <c r="N492" t="s">
        <v>656</v>
      </c>
      <c r="O492" t="s">
        <v>82</v>
      </c>
      <c r="P492" t="str">
        <f>"4170063066                    "</f>
        <v xml:space="preserve">4170063066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22.36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70.959999999999994</v>
      </c>
      <c r="BM492">
        <v>10.64</v>
      </c>
      <c r="BN492">
        <v>81.599999999999994</v>
      </c>
      <c r="BO492">
        <v>81.599999999999994</v>
      </c>
      <c r="BQ492" t="s">
        <v>657</v>
      </c>
      <c r="BR492" t="s">
        <v>97</v>
      </c>
      <c r="BS492" s="3">
        <v>45937</v>
      </c>
      <c r="BT492" s="4">
        <v>0.4236111111111111</v>
      </c>
      <c r="BU492" t="s">
        <v>658</v>
      </c>
      <c r="BV492" t="s">
        <v>86</v>
      </c>
      <c r="BY492">
        <v>1200</v>
      </c>
      <c r="CA492" t="s">
        <v>211</v>
      </c>
      <c r="CC492" t="s">
        <v>207</v>
      </c>
      <c r="CD492">
        <v>7441</v>
      </c>
      <c r="CE492" t="s">
        <v>147</v>
      </c>
      <c r="CF492" s="3">
        <v>45938</v>
      </c>
      <c r="CI492">
        <v>1</v>
      </c>
      <c r="CJ492">
        <v>1</v>
      </c>
      <c r="CK492">
        <v>21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"080068339737"</f>
        <v>080068339737</v>
      </c>
      <c r="F493" s="3">
        <v>45936</v>
      </c>
      <c r="G493">
        <v>202607</v>
      </c>
      <c r="H493" t="s">
        <v>79</v>
      </c>
      <c r="I493" t="s">
        <v>80</v>
      </c>
      <c r="J493" t="s">
        <v>91</v>
      </c>
      <c r="K493" t="s">
        <v>78</v>
      </c>
      <c r="L493" t="s">
        <v>108</v>
      </c>
      <c r="M493" t="s">
        <v>109</v>
      </c>
      <c r="N493" t="s">
        <v>1176</v>
      </c>
      <c r="O493" t="s">
        <v>82</v>
      </c>
      <c r="P493" t="str">
        <f>"4170062934                    "</f>
        <v xml:space="preserve">4170062934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22.36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70.959999999999994</v>
      </c>
      <c r="BM493">
        <v>10.64</v>
      </c>
      <c r="BN493">
        <v>81.599999999999994</v>
      </c>
      <c r="BO493">
        <v>81.599999999999994</v>
      </c>
      <c r="BQ493" t="s">
        <v>1177</v>
      </c>
      <c r="BR493" t="s">
        <v>97</v>
      </c>
      <c r="BS493" s="3">
        <v>45937</v>
      </c>
      <c r="BT493" s="4">
        <v>0.41041666666666665</v>
      </c>
      <c r="BU493" t="s">
        <v>1178</v>
      </c>
      <c r="BV493" t="s">
        <v>86</v>
      </c>
      <c r="BY493">
        <v>1200</v>
      </c>
      <c r="CA493" t="s">
        <v>1137</v>
      </c>
      <c r="CC493" t="s">
        <v>109</v>
      </c>
      <c r="CD493">
        <v>6001</v>
      </c>
      <c r="CE493" t="s">
        <v>147</v>
      </c>
      <c r="CF493" s="3">
        <v>45937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"080068339742"</f>
        <v>080068339742</v>
      </c>
      <c r="F494" s="3">
        <v>45936</v>
      </c>
      <c r="G494">
        <v>202607</v>
      </c>
      <c r="H494" t="s">
        <v>79</v>
      </c>
      <c r="I494" t="s">
        <v>80</v>
      </c>
      <c r="J494" t="s">
        <v>91</v>
      </c>
      <c r="K494" t="s">
        <v>78</v>
      </c>
      <c r="L494" t="s">
        <v>92</v>
      </c>
      <c r="M494" t="s">
        <v>93</v>
      </c>
      <c r="N494" t="s">
        <v>1179</v>
      </c>
      <c r="O494" t="s">
        <v>82</v>
      </c>
      <c r="P494" t="str">
        <f>"4170063037                    "</f>
        <v xml:space="preserve">4170063037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22.36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16.739999999999998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87.7</v>
      </c>
      <c r="BM494">
        <v>13.16</v>
      </c>
      <c r="BN494">
        <v>100.86</v>
      </c>
      <c r="BO494">
        <v>100.86</v>
      </c>
      <c r="BQ494" t="s">
        <v>1180</v>
      </c>
      <c r="BR494" t="s">
        <v>97</v>
      </c>
      <c r="BS494" s="3">
        <v>45937</v>
      </c>
      <c r="BT494" s="4">
        <v>0.41666666666666669</v>
      </c>
      <c r="BU494" t="s">
        <v>1181</v>
      </c>
      <c r="BV494" t="s">
        <v>86</v>
      </c>
      <c r="BY494">
        <v>1200</v>
      </c>
      <c r="BZ494" t="s">
        <v>30</v>
      </c>
      <c r="CC494" t="s">
        <v>93</v>
      </c>
      <c r="CD494">
        <v>3699</v>
      </c>
      <c r="CE494" t="s">
        <v>147</v>
      </c>
      <c r="CF494" s="3">
        <v>45938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"080068339759"</f>
        <v>080068339759</v>
      </c>
      <c r="F495" s="3">
        <v>45936</v>
      </c>
      <c r="G495">
        <v>202607</v>
      </c>
      <c r="H495" t="s">
        <v>79</v>
      </c>
      <c r="I495" t="s">
        <v>80</v>
      </c>
      <c r="J495" t="s">
        <v>91</v>
      </c>
      <c r="K495" t="s">
        <v>78</v>
      </c>
      <c r="L495" t="s">
        <v>168</v>
      </c>
      <c r="M495" t="s">
        <v>169</v>
      </c>
      <c r="N495" t="s">
        <v>1182</v>
      </c>
      <c r="O495" t="s">
        <v>82</v>
      </c>
      <c r="P495" t="str">
        <f>"4170062914                    "</f>
        <v xml:space="preserve">4170062914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22.36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70.959999999999994</v>
      </c>
      <c r="BM495">
        <v>10.64</v>
      </c>
      <c r="BN495">
        <v>81.599999999999994</v>
      </c>
      <c r="BO495">
        <v>81.599999999999994</v>
      </c>
      <c r="BQ495" t="s">
        <v>1183</v>
      </c>
      <c r="BR495" t="s">
        <v>97</v>
      </c>
      <c r="BS495" s="3">
        <v>45937</v>
      </c>
      <c r="BT495" s="4">
        <v>0.43055555555555558</v>
      </c>
      <c r="BU495" t="s">
        <v>1184</v>
      </c>
      <c r="BV495" t="s">
        <v>86</v>
      </c>
      <c r="BY495">
        <v>1200</v>
      </c>
      <c r="CC495" t="s">
        <v>169</v>
      </c>
      <c r="CD495" s="5" t="s">
        <v>1108</v>
      </c>
      <c r="CE495" t="s">
        <v>147</v>
      </c>
      <c r="CF495" s="3">
        <v>45937</v>
      </c>
      <c r="CI495">
        <v>1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"080068339781"</f>
        <v>080068339781</v>
      </c>
      <c r="F496" s="3">
        <v>45936</v>
      </c>
      <c r="G496">
        <v>202607</v>
      </c>
      <c r="H496" t="s">
        <v>79</v>
      </c>
      <c r="I496" t="s">
        <v>80</v>
      </c>
      <c r="J496" t="s">
        <v>91</v>
      </c>
      <c r="K496" t="s">
        <v>78</v>
      </c>
      <c r="L496" t="s">
        <v>108</v>
      </c>
      <c r="M496" t="s">
        <v>109</v>
      </c>
      <c r="N496" t="s">
        <v>1185</v>
      </c>
      <c r="O496" t="s">
        <v>82</v>
      </c>
      <c r="P496" t="str">
        <f>"4170062896                    "</f>
        <v xml:space="preserve">4170062896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22.36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70.959999999999994</v>
      </c>
      <c r="BM496">
        <v>10.64</v>
      </c>
      <c r="BN496">
        <v>81.599999999999994</v>
      </c>
      <c r="BO496">
        <v>81.599999999999994</v>
      </c>
      <c r="BQ496" t="s">
        <v>1186</v>
      </c>
      <c r="BR496" t="s">
        <v>97</v>
      </c>
      <c r="BS496" s="3">
        <v>45937</v>
      </c>
      <c r="BT496" s="4">
        <v>0.41249999999999998</v>
      </c>
      <c r="BU496" t="s">
        <v>1187</v>
      </c>
      <c r="BV496" t="s">
        <v>86</v>
      </c>
      <c r="BY496">
        <v>1200</v>
      </c>
      <c r="CA496" t="s">
        <v>1137</v>
      </c>
      <c r="CC496" t="s">
        <v>109</v>
      </c>
      <c r="CD496">
        <v>6001</v>
      </c>
      <c r="CE496" t="s">
        <v>147</v>
      </c>
      <c r="CF496" s="3">
        <v>45937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"080068339821"</f>
        <v>080068339821</v>
      </c>
      <c r="F497" s="3">
        <v>45936</v>
      </c>
      <c r="G497">
        <v>202607</v>
      </c>
      <c r="H497" t="s">
        <v>79</v>
      </c>
      <c r="I497" t="s">
        <v>80</v>
      </c>
      <c r="J497" t="s">
        <v>91</v>
      </c>
      <c r="K497" t="s">
        <v>78</v>
      </c>
      <c r="L497" t="s">
        <v>79</v>
      </c>
      <c r="M497" t="s">
        <v>80</v>
      </c>
      <c r="N497" t="s">
        <v>1164</v>
      </c>
      <c r="O497" t="s">
        <v>82</v>
      </c>
      <c r="P497" t="str">
        <f>"4170062955                    "</f>
        <v xml:space="preserve">4170062955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17.46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55.42</v>
      </c>
      <c r="BM497">
        <v>8.31</v>
      </c>
      <c r="BN497">
        <v>63.73</v>
      </c>
      <c r="BO497">
        <v>63.73</v>
      </c>
      <c r="BQ497" t="s">
        <v>1165</v>
      </c>
      <c r="BR497" t="s">
        <v>97</v>
      </c>
      <c r="BS497" s="3">
        <v>45937</v>
      </c>
      <c r="BT497" s="4">
        <v>0.34097222222222223</v>
      </c>
      <c r="BU497" t="s">
        <v>1166</v>
      </c>
      <c r="BV497" t="s">
        <v>86</v>
      </c>
      <c r="BY497">
        <v>1200</v>
      </c>
      <c r="CA497" t="s">
        <v>419</v>
      </c>
      <c r="CC497" t="s">
        <v>80</v>
      </c>
      <c r="CD497">
        <v>1665</v>
      </c>
      <c r="CE497" t="s">
        <v>147</v>
      </c>
      <c r="CF497" s="3">
        <v>45938</v>
      </c>
      <c r="CI497">
        <v>1</v>
      </c>
      <c r="CJ497">
        <v>1</v>
      </c>
      <c r="CK497">
        <v>22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"080068339856"</f>
        <v>080068339856</v>
      </c>
      <c r="F498" s="3">
        <v>45936</v>
      </c>
      <c r="G498">
        <v>202607</v>
      </c>
      <c r="H498" t="s">
        <v>79</v>
      </c>
      <c r="I498" t="s">
        <v>80</v>
      </c>
      <c r="J498" t="s">
        <v>91</v>
      </c>
      <c r="K498" t="s">
        <v>78</v>
      </c>
      <c r="L498" t="s">
        <v>271</v>
      </c>
      <c r="M498" t="s">
        <v>272</v>
      </c>
      <c r="N498" t="s">
        <v>1188</v>
      </c>
      <c r="O498" t="s">
        <v>82</v>
      </c>
      <c r="P498" t="str">
        <f>"4170063096                    "</f>
        <v xml:space="preserve">4170063096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17.46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55.42</v>
      </c>
      <c r="BM498">
        <v>8.31</v>
      </c>
      <c r="BN498">
        <v>63.73</v>
      </c>
      <c r="BO498">
        <v>63.73</v>
      </c>
      <c r="BQ498" t="s">
        <v>1189</v>
      </c>
      <c r="BR498" t="s">
        <v>97</v>
      </c>
      <c r="BS498" s="3">
        <v>45937</v>
      </c>
      <c r="BT498" s="4">
        <v>0.4201388888888889</v>
      </c>
      <c r="BU498" t="s">
        <v>1035</v>
      </c>
      <c r="BV498" t="s">
        <v>86</v>
      </c>
      <c r="BY498">
        <v>1200</v>
      </c>
      <c r="CA498" t="s">
        <v>661</v>
      </c>
      <c r="CC498" t="s">
        <v>272</v>
      </c>
      <c r="CD498">
        <v>1428</v>
      </c>
      <c r="CE498" t="s">
        <v>147</v>
      </c>
      <c r="CF498" s="3">
        <v>45938</v>
      </c>
      <c r="CI498">
        <v>1</v>
      </c>
      <c r="CJ498">
        <v>1</v>
      </c>
      <c r="CK498">
        <v>22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"080068339881"</f>
        <v>080068339881</v>
      </c>
      <c r="F499" s="3">
        <v>45936</v>
      </c>
      <c r="G499">
        <v>202607</v>
      </c>
      <c r="H499" t="s">
        <v>79</v>
      </c>
      <c r="I499" t="s">
        <v>80</v>
      </c>
      <c r="J499" t="s">
        <v>91</v>
      </c>
      <c r="K499" t="s">
        <v>78</v>
      </c>
      <c r="L499" t="s">
        <v>446</v>
      </c>
      <c r="M499" t="s">
        <v>447</v>
      </c>
      <c r="N499" t="s">
        <v>448</v>
      </c>
      <c r="O499" t="s">
        <v>82</v>
      </c>
      <c r="P499" t="str">
        <f>"4170063040                    "</f>
        <v xml:space="preserve">4170063040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43.31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137.47</v>
      </c>
      <c r="BM499">
        <v>20.62</v>
      </c>
      <c r="BN499">
        <v>158.09</v>
      </c>
      <c r="BO499">
        <v>158.09</v>
      </c>
      <c r="BQ499" t="s">
        <v>449</v>
      </c>
      <c r="BR499" t="s">
        <v>97</v>
      </c>
      <c r="BS499" s="3">
        <v>45937</v>
      </c>
      <c r="BT499" s="4">
        <v>0.50208333333333333</v>
      </c>
      <c r="BU499" t="s">
        <v>450</v>
      </c>
      <c r="BV499" t="s">
        <v>86</v>
      </c>
      <c r="BY499">
        <v>1200</v>
      </c>
      <c r="CA499" t="s">
        <v>1124</v>
      </c>
      <c r="CC499" t="s">
        <v>447</v>
      </c>
      <c r="CD499">
        <v>7130</v>
      </c>
      <c r="CE499" t="s">
        <v>147</v>
      </c>
      <c r="CF499" s="3">
        <v>45938</v>
      </c>
      <c r="CI499">
        <v>1</v>
      </c>
      <c r="CJ499">
        <v>1</v>
      </c>
      <c r="CK499">
        <v>23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"080068339918"</f>
        <v>080068339918</v>
      </c>
      <c r="F500" s="3">
        <v>45936</v>
      </c>
      <c r="G500">
        <v>202607</v>
      </c>
      <c r="H500" t="s">
        <v>79</v>
      </c>
      <c r="I500" t="s">
        <v>80</v>
      </c>
      <c r="J500" t="s">
        <v>91</v>
      </c>
      <c r="K500" t="s">
        <v>78</v>
      </c>
      <c r="L500" t="s">
        <v>206</v>
      </c>
      <c r="M500" t="s">
        <v>207</v>
      </c>
      <c r="N500" t="s">
        <v>436</v>
      </c>
      <c r="O500" t="s">
        <v>82</v>
      </c>
      <c r="P500" t="str">
        <f>"4170063056                    "</f>
        <v xml:space="preserve">4170063056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22.36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70.959999999999994</v>
      </c>
      <c r="BM500">
        <v>10.64</v>
      </c>
      <c r="BN500">
        <v>81.599999999999994</v>
      </c>
      <c r="BO500">
        <v>81.599999999999994</v>
      </c>
      <c r="BQ500" t="s">
        <v>437</v>
      </c>
      <c r="BR500" t="s">
        <v>97</v>
      </c>
      <c r="BS500" s="3">
        <v>45937</v>
      </c>
      <c r="BT500" s="4">
        <v>0.41805555555555557</v>
      </c>
      <c r="BU500" t="s">
        <v>1190</v>
      </c>
      <c r="BV500" t="s">
        <v>86</v>
      </c>
      <c r="BY500">
        <v>1200</v>
      </c>
      <c r="CA500" t="s">
        <v>1191</v>
      </c>
      <c r="CC500" t="s">
        <v>207</v>
      </c>
      <c r="CD500">
        <v>7800</v>
      </c>
      <c r="CE500" t="s">
        <v>147</v>
      </c>
      <c r="CF500" s="3">
        <v>45938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"080068339949"</f>
        <v>080068339949</v>
      </c>
      <c r="F501" s="3">
        <v>45936</v>
      </c>
      <c r="G501">
        <v>202607</v>
      </c>
      <c r="H501" t="s">
        <v>79</v>
      </c>
      <c r="I501" t="s">
        <v>80</v>
      </c>
      <c r="J501" t="s">
        <v>91</v>
      </c>
      <c r="K501" t="s">
        <v>78</v>
      </c>
      <c r="L501" t="s">
        <v>121</v>
      </c>
      <c r="M501" t="s">
        <v>122</v>
      </c>
      <c r="N501" t="s">
        <v>123</v>
      </c>
      <c r="O501" t="s">
        <v>82</v>
      </c>
      <c r="P501" t="str">
        <f>"4170062918                    "</f>
        <v xml:space="preserve">4170062918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22.36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70.959999999999994</v>
      </c>
      <c r="BM501">
        <v>10.64</v>
      </c>
      <c r="BN501">
        <v>81.599999999999994</v>
      </c>
      <c r="BO501">
        <v>81.599999999999994</v>
      </c>
      <c r="BQ501" t="s">
        <v>124</v>
      </c>
      <c r="BR501" t="s">
        <v>97</v>
      </c>
      <c r="BS501" s="3">
        <v>45937</v>
      </c>
      <c r="BT501" s="4">
        <v>0.35416666666666669</v>
      </c>
      <c r="BU501" t="s">
        <v>201</v>
      </c>
      <c r="BV501" t="s">
        <v>86</v>
      </c>
      <c r="BY501">
        <v>1200</v>
      </c>
      <c r="CA501" t="s">
        <v>126</v>
      </c>
      <c r="CC501" t="s">
        <v>122</v>
      </c>
      <c r="CD501">
        <v>4051</v>
      </c>
      <c r="CE501" t="s">
        <v>147</v>
      </c>
      <c r="CF501" s="3">
        <v>45937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"080068340005"</f>
        <v>080068340005</v>
      </c>
      <c r="F502" s="3">
        <v>45936</v>
      </c>
      <c r="G502">
        <v>202607</v>
      </c>
      <c r="H502" t="s">
        <v>79</v>
      </c>
      <c r="I502" t="s">
        <v>80</v>
      </c>
      <c r="J502" t="s">
        <v>91</v>
      </c>
      <c r="K502" t="s">
        <v>78</v>
      </c>
      <c r="L502" t="s">
        <v>206</v>
      </c>
      <c r="M502" t="s">
        <v>207</v>
      </c>
      <c r="N502" t="s">
        <v>1192</v>
      </c>
      <c r="O502" t="s">
        <v>82</v>
      </c>
      <c r="P502" t="str">
        <f>"4170062866                    "</f>
        <v xml:space="preserve">4170062866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22.36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70.959999999999994</v>
      </c>
      <c r="BM502">
        <v>10.64</v>
      </c>
      <c r="BN502">
        <v>81.599999999999994</v>
      </c>
      <c r="BO502">
        <v>81.599999999999994</v>
      </c>
      <c r="BQ502" t="s">
        <v>1193</v>
      </c>
      <c r="BR502" t="s">
        <v>97</v>
      </c>
      <c r="BS502" s="3">
        <v>45937</v>
      </c>
      <c r="BT502" s="4">
        <v>0.50694444444444442</v>
      </c>
      <c r="BU502" t="s">
        <v>1194</v>
      </c>
      <c r="BV502" t="s">
        <v>90</v>
      </c>
      <c r="BW502" t="s">
        <v>347</v>
      </c>
      <c r="BX502" t="s">
        <v>1038</v>
      </c>
      <c r="BY502">
        <v>1200</v>
      </c>
      <c r="CC502" t="s">
        <v>207</v>
      </c>
      <c r="CD502">
        <v>7530</v>
      </c>
      <c r="CE502" t="s">
        <v>147</v>
      </c>
      <c r="CF502" s="3">
        <v>45938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"080068340033"</f>
        <v>080068340033</v>
      </c>
      <c r="F503" s="3">
        <v>45936</v>
      </c>
      <c r="G503">
        <v>202607</v>
      </c>
      <c r="H503" t="s">
        <v>79</v>
      </c>
      <c r="I503" t="s">
        <v>80</v>
      </c>
      <c r="J503" t="s">
        <v>91</v>
      </c>
      <c r="K503" t="s">
        <v>78</v>
      </c>
      <c r="L503" t="s">
        <v>763</v>
      </c>
      <c r="M503" t="s">
        <v>764</v>
      </c>
      <c r="N503" t="s">
        <v>765</v>
      </c>
      <c r="O503" t="s">
        <v>82</v>
      </c>
      <c r="P503" t="str">
        <f>"4170063057                    "</f>
        <v xml:space="preserve">4170063057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43.31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137.47</v>
      </c>
      <c r="BM503">
        <v>20.62</v>
      </c>
      <c r="BN503">
        <v>158.09</v>
      </c>
      <c r="BO503">
        <v>158.09</v>
      </c>
      <c r="BQ503" t="s">
        <v>766</v>
      </c>
      <c r="BR503" t="s">
        <v>97</v>
      </c>
      <c r="BS503" s="3">
        <v>45937</v>
      </c>
      <c r="BT503" s="4">
        <v>0.42986111111111114</v>
      </c>
      <c r="BU503" t="s">
        <v>1195</v>
      </c>
      <c r="BV503" t="s">
        <v>86</v>
      </c>
      <c r="BY503">
        <v>1200</v>
      </c>
      <c r="CA503" t="s">
        <v>768</v>
      </c>
      <c r="CC503" t="s">
        <v>764</v>
      </c>
      <c r="CD503">
        <v>2531</v>
      </c>
      <c r="CE503" t="s">
        <v>147</v>
      </c>
      <c r="CF503" s="3">
        <v>45938</v>
      </c>
      <c r="CI503">
        <v>1</v>
      </c>
      <c r="CJ503">
        <v>1</v>
      </c>
      <c r="CK503">
        <v>23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"080068340064"</f>
        <v>080068340064</v>
      </c>
      <c r="F504" s="3">
        <v>45936</v>
      </c>
      <c r="G504">
        <v>202607</v>
      </c>
      <c r="H504" t="s">
        <v>79</v>
      </c>
      <c r="I504" t="s">
        <v>80</v>
      </c>
      <c r="J504" t="s">
        <v>91</v>
      </c>
      <c r="K504" t="s">
        <v>78</v>
      </c>
      <c r="L504" t="s">
        <v>108</v>
      </c>
      <c r="M504" t="s">
        <v>109</v>
      </c>
      <c r="N504" t="s">
        <v>1176</v>
      </c>
      <c r="O504" t="s">
        <v>82</v>
      </c>
      <c r="P504" t="str">
        <f>"4170062931                    "</f>
        <v xml:space="preserve">4170062931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22.36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70.959999999999994</v>
      </c>
      <c r="BM504">
        <v>10.64</v>
      </c>
      <c r="BN504">
        <v>81.599999999999994</v>
      </c>
      <c r="BO504">
        <v>81.599999999999994</v>
      </c>
      <c r="BQ504" t="s">
        <v>1177</v>
      </c>
      <c r="BR504" t="s">
        <v>97</v>
      </c>
      <c r="BS504" s="3">
        <v>45937</v>
      </c>
      <c r="BT504" s="4">
        <v>0.41041666666666665</v>
      </c>
      <c r="BU504" t="s">
        <v>1178</v>
      </c>
      <c r="BV504" t="s">
        <v>86</v>
      </c>
      <c r="BY504">
        <v>1200</v>
      </c>
      <c r="CA504" t="s">
        <v>1137</v>
      </c>
      <c r="CC504" t="s">
        <v>109</v>
      </c>
      <c r="CD504">
        <v>6001</v>
      </c>
      <c r="CE504" t="s">
        <v>147</v>
      </c>
      <c r="CF504" s="3">
        <v>45937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"080068340106"</f>
        <v>080068340106</v>
      </c>
      <c r="F505" s="3">
        <v>45936</v>
      </c>
      <c r="G505">
        <v>202607</v>
      </c>
      <c r="H505" t="s">
        <v>79</v>
      </c>
      <c r="I505" t="s">
        <v>80</v>
      </c>
      <c r="J505" t="s">
        <v>91</v>
      </c>
      <c r="K505" t="s">
        <v>78</v>
      </c>
      <c r="L505" t="s">
        <v>763</v>
      </c>
      <c r="M505" t="s">
        <v>764</v>
      </c>
      <c r="N505" t="s">
        <v>765</v>
      </c>
      <c r="O505" t="s">
        <v>82</v>
      </c>
      <c r="P505" t="str">
        <f>"4170062857                    "</f>
        <v xml:space="preserve">4170062857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43.31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0.9</v>
      </c>
      <c r="BK505">
        <v>1</v>
      </c>
      <c r="BL505">
        <v>137.47</v>
      </c>
      <c r="BM505">
        <v>20.62</v>
      </c>
      <c r="BN505">
        <v>158.09</v>
      </c>
      <c r="BO505">
        <v>158.09</v>
      </c>
      <c r="BQ505" t="s">
        <v>766</v>
      </c>
      <c r="BR505" t="s">
        <v>97</v>
      </c>
      <c r="BS505" s="3">
        <v>45937</v>
      </c>
      <c r="BT505" s="4">
        <v>0.42777777777777776</v>
      </c>
      <c r="BU505" t="s">
        <v>1175</v>
      </c>
      <c r="BV505" t="s">
        <v>86</v>
      </c>
      <c r="BY505">
        <v>4533.78</v>
      </c>
      <c r="CA505" t="s">
        <v>768</v>
      </c>
      <c r="CC505" t="s">
        <v>764</v>
      </c>
      <c r="CD505">
        <v>2531</v>
      </c>
      <c r="CE505" t="s">
        <v>191</v>
      </c>
      <c r="CF505" s="3">
        <v>45938</v>
      </c>
      <c r="CI505">
        <v>1</v>
      </c>
      <c r="CJ505">
        <v>1</v>
      </c>
      <c r="CK505">
        <v>23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"080068340152"</f>
        <v>080068340152</v>
      </c>
      <c r="F506" s="3">
        <v>45936</v>
      </c>
      <c r="G506">
        <v>202607</v>
      </c>
      <c r="H506" t="s">
        <v>79</v>
      </c>
      <c r="I506" t="s">
        <v>80</v>
      </c>
      <c r="J506" t="s">
        <v>91</v>
      </c>
      <c r="K506" t="s">
        <v>78</v>
      </c>
      <c r="L506" t="s">
        <v>114</v>
      </c>
      <c r="M506" t="s">
        <v>115</v>
      </c>
      <c r="N506" t="s">
        <v>116</v>
      </c>
      <c r="O506" t="s">
        <v>82</v>
      </c>
      <c r="P506" t="str">
        <f>"4170062838                    "</f>
        <v xml:space="preserve">4170062838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22.36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0.9</v>
      </c>
      <c r="BK506">
        <v>1</v>
      </c>
      <c r="BL506">
        <v>70.959999999999994</v>
      </c>
      <c r="BM506">
        <v>10.64</v>
      </c>
      <c r="BN506">
        <v>81.599999999999994</v>
      </c>
      <c r="BO506">
        <v>81.599999999999994</v>
      </c>
      <c r="BQ506" t="s">
        <v>117</v>
      </c>
      <c r="BR506" t="s">
        <v>97</v>
      </c>
      <c r="BS506" s="3">
        <v>45937</v>
      </c>
      <c r="BT506" s="4">
        <v>0.55555555555555558</v>
      </c>
      <c r="BU506" t="s">
        <v>1196</v>
      </c>
      <c r="BV506" t="s">
        <v>90</v>
      </c>
      <c r="BY506">
        <v>4275</v>
      </c>
      <c r="CA506" t="s">
        <v>119</v>
      </c>
      <c r="CC506" t="s">
        <v>115</v>
      </c>
      <c r="CD506">
        <v>5200</v>
      </c>
      <c r="CE506" t="s">
        <v>191</v>
      </c>
      <c r="CF506" s="3">
        <v>45937</v>
      </c>
      <c r="CI506">
        <v>1</v>
      </c>
      <c r="CJ506">
        <v>1</v>
      </c>
      <c r="CK506">
        <v>21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"080068340192"</f>
        <v>080068340192</v>
      </c>
      <c r="F507" s="3">
        <v>45936</v>
      </c>
      <c r="G507">
        <v>202607</v>
      </c>
      <c r="H507" t="s">
        <v>79</v>
      </c>
      <c r="I507" t="s">
        <v>80</v>
      </c>
      <c r="J507" t="s">
        <v>91</v>
      </c>
      <c r="K507" t="s">
        <v>78</v>
      </c>
      <c r="L507" t="s">
        <v>206</v>
      </c>
      <c r="M507" t="s">
        <v>207</v>
      </c>
      <c r="N507" t="s">
        <v>611</v>
      </c>
      <c r="O507" t="s">
        <v>82</v>
      </c>
      <c r="P507" t="str">
        <f>"4170062913                    "</f>
        <v xml:space="preserve">4170062913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78.2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3</v>
      </c>
      <c r="BJ507">
        <v>6.9</v>
      </c>
      <c r="BK507">
        <v>7</v>
      </c>
      <c r="BL507">
        <v>248.2</v>
      </c>
      <c r="BM507">
        <v>37.229999999999997</v>
      </c>
      <c r="BN507">
        <v>285.43</v>
      </c>
      <c r="BO507">
        <v>285.43</v>
      </c>
      <c r="BQ507" t="s">
        <v>612</v>
      </c>
      <c r="BR507" t="s">
        <v>97</v>
      </c>
      <c r="BS507" s="3">
        <v>45937</v>
      </c>
      <c r="BT507" s="4">
        <v>0.36388888888888887</v>
      </c>
      <c r="BU507" t="s">
        <v>1174</v>
      </c>
      <c r="BV507" t="s">
        <v>86</v>
      </c>
      <c r="BY507">
        <v>34680</v>
      </c>
      <c r="CA507" t="s">
        <v>423</v>
      </c>
      <c r="CC507" t="s">
        <v>207</v>
      </c>
      <c r="CD507">
        <v>7530</v>
      </c>
      <c r="CE507" t="s">
        <v>107</v>
      </c>
      <c r="CF507" s="3">
        <v>45938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"080068340518"</f>
        <v>080068340518</v>
      </c>
      <c r="F508" s="3">
        <v>45936</v>
      </c>
      <c r="G508">
        <v>202607</v>
      </c>
      <c r="H508" t="s">
        <v>79</v>
      </c>
      <c r="I508" t="s">
        <v>80</v>
      </c>
      <c r="J508" t="s">
        <v>91</v>
      </c>
      <c r="K508" t="s">
        <v>78</v>
      </c>
      <c r="L508" t="s">
        <v>1095</v>
      </c>
      <c r="M508" t="s">
        <v>1096</v>
      </c>
      <c r="N508" t="s">
        <v>1197</v>
      </c>
      <c r="O508" t="s">
        <v>82</v>
      </c>
      <c r="P508" t="str">
        <f>"4170063107                    "</f>
        <v xml:space="preserve">4170063107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43.31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137.47</v>
      </c>
      <c r="BM508">
        <v>20.62</v>
      </c>
      <c r="BN508">
        <v>158.09</v>
      </c>
      <c r="BO508">
        <v>158.09</v>
      </c>
      <c r="BQ508" t="s">
        <v>1198</v>
      </c>
      <c r="BR508" t="s">
        <v>97</v>
      </c>
      <c r="BS508" s="3">
        <v>45937</v>
      </c>
      <c r="BT508" s="4">
        <v>0.43402777777777779</v>
      </c>
      <c r="BU508" t="s">
        <v>1199</v>
      </c>
      <c r="BV508" t="s">
        <v>86</v>
      </c>
      <c r="BY508">
        <v>1200</v>
      </c>
      <c r="CC508" t="s">
        <v>1096</v>
      </c>
      <c r="CD508">
        <v>2302</v>
      </c>
      <c r="CE508" t="s">
        <v>147</v>
      </c>
      <c r="CF508" s="3">
        <v>45937</v>
      </c>
      <c r="CI508">
        <v>1</v>
      </c>
      <c r="CJ508">
        <v>1</v>
      </c>
      <c r="CK508">
        <v>23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"080068340569"</f>
        <v>080068340569</v>
      </c>
      <c r="F509" s="3">
        <v>45936</v>
      </c>
      <c r="G509">
        <v>202607</v>
      </c>
      <c r="H509" t="s">
        <v>79</v>
      </c>
      <c r="I509" t="s">
        <v>80</v>
      </c>
      <c r="J509" t="s">
        <v>91</v>
      </c>
      <c r="K509" t="s">
        <v>78</v>
      </c>
      <c r="L509" t="s">
        <v>108</v>
      </c>
      <c r="M509" t="s">
        <v>109</v>
      </c>
      <c r="N509" t="s">
        <v>997</v>
      </c>
      <c r="O509" t="s">
        <v>82</v>
      </c>
      <c r="P509" t="str">
        <f>"4170062968                    "</f>
        <v xml:space="preserve">4170062968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22.36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70.959999999999994</v>
      </c>
      <c r="BM509">
        <v>10.64</v>
      </c>
      <c r="BN509">
        <v>81.599999999999994</v>
      </c>
      <c r="BO509">
        <v>81.599999999999994</v>
      </c>
      <c r="BQ509" t="s">
        <v>998</v>
      </c>
      <c r="BR509" t="s">
        <v>97</v>
      </c>
      <c r="BS509" s="3">
        <v>45937</v>
      </c>
      <c r="BT509" s="4">
        <v>0.35694444444444445</v>
      </c>
      <c r="BU509" t="s">
        <v>999</v>
      </c>
      <c r="BV509" t="s">
        <v>86</v>
      </c>
      <c r="BY509">
        <v>1200</v>
      </c>
      <c r="CA509" t="s">
        <v>1000</v>
      </c>
      <c r="CC509" t="s">
        <v>109</v>
      </c>
      <c r="CD509">
        <v>6001</v>
      </c>
      <c r="CE509" t="s">
        <v>147</v>
      </c>
      <c r="CF509" s="3">
        <v>45937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"080068340616"</f>
        <v>080068340616</v>
      </c>
      <c r="F510" s="3">
        <v>45936</v>
      </c>
      <c r="G510">
        <v>202607</v>
      </c>
      <c r="H510" t="s">
        <v>79</v>
      </c>
      <c r="I510" t="s">
        <v>80</v>
      </c>
      <c r="J510" t="s">
        <v>91</v>
      </c>
      <c r="K510" t="s">
        <v>78</v>
      </c>
      <c r="L510" t="s">
        <v>206</v>
      </c>
      <c r="M510" t="s">
        <v>207</v>
      </c>
      <c r="N510" t="s">
        <v>1200</v>
      </c>
      <c r="O510" t="s">
        <v>95</v>
      </c>
      <c r="P510" t="str">
        <f>"4170062995                    "</f>
        <v xml:space="preserve">4170062995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61.08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3</v>
      </c>
      <c r="BI510">
        <v>24.1</v>
      </c>
      <c r="BJ510">
        <v>12.2</v>
      </c>
      <c r="BK510">
        <v>25</v>
      </c>
      <c r="BL510">
        <v>199.73</v>
      </c>
      <c r="BM510">
        <v>29.96</v>
      </c>
      <c r="BN510">
        <v>229.69</v>
      </c>
      <c r="BO510">
        <v>229.69</v>
      </c>
      <c r="BQ510" t="s">
        <v>1201</v>
      </c>
      <c r="BR510" t="s">
        <v>97</v>
      </c>
      <c r="BS510" s="3">
        <v>45938</v>
      </c>
      <c r="BT510" s="4">
        <v>0.42222222222222222</v>
      </c>
      <c r="BU510" t="s">
        <v>1202</v>
      </c>
      <c r="BV510" t="s">
        <v>86</v>
      </c>
      <c r="BY510">
        <v>60889.34</v>
      </c>
      <c r="CA510" t="s">
        <v>211</v>
      </c>
      <c r="CC510" t="s">
        <v>207</v>
      </c>
      <c r="CD510">
        <v>8001</v>
      </c>
      <c r="CE510" t="s">
        <v>107</v>
      </c>
      <c r="CF510" s="3">
        <v>45939</v>
      </c>
      <c r="CI510">
        <v>3</v>
      </c>
      <c r="CJ510">
        <v>2</v>
      </c>
      <c r="CK510">
        <v>41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"080068340619"</f>
        <v>080068340619</v>
      </c>
      <c r="F511" s="3">
        <v>45936</v>
      </c>
      <c r="G511">
        <v>202607</v>
      </c>
      <c r="H511" t="s">
        <v>79</v>
      </c>
      <c r="I511" t="s">
        <v>80</v>
      </c>
      <c r="J511" t="s">
        <v>91</v>
      </c>
      <c r="K511" t="s">
        <v>78</v>
      </c>
      <c r="L511" t="s">
        <v>108</v>
      </c>
      <c r="M511" t="s">
        <v>109</v>
      </c>
      <c r="N511" t="s">
        <v>1203</v>
      </c>
      <c r="O511" t="s">
        <v>82</v>
      </c>
      <c r="P511" t="str">
        <f>"4170062962                    "</f>
        <v xml:space="preserve">4170062962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22.36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70.959999999999994</v>
      </c>
      <c r="BM511">
        <v>10.64</v>
      </c>
      <c r="BN511">
        <v>81.599999999999994</v>
      </c>
      <c r="BO511">
        <v>81.599999999999994</v>
      </c>
      <c r="BQ511" t="s">
        <v>1204</v>
      </c>
      <c r="BR511" t="s">
        <v>97</v>
      </c>
      <c r="BS511" s="3">
        <v>45937</v>
      </c>
      <c r="BT511" s="4">
        <v>0.40277777777777779</v>
      </c>
      <c r="BU511" t="s">
        <v>1205</v>
      </c>
      <c r="BV511" t="s">
        <v>86</v>
      </c>
      <c r="BY511">
        <v>1200</v>
      </c>
      <c r="CA511" t="s">
        <v>1090</v>
      </c>
      <c r="CC511" t="s">
        <v>109</v>
      </c>
      <c r="CD511">
        <v>6012</v>
      </c>
      <c r="CE511" t="s">
        <v>147</v>
      </c>
      <c r="CF511" s="3">
        <v>45937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"080068340667"</f>
        <v>080068340667</v>
      </c>
      <c r="F512" s="3">
        <v>45936</v>
      </c>
      <c r="G512">
        <v>202607</v>
      </c>
      <c r="H512" t="s">
        <v>79</v>
      </c>
      <c r="I512" t="s">
        <v>80</v>
      </c>
      <c r="J512" t="s">
        <v>91</v>
      </c>
      <c r="K512" t="s">
        <v>78</v>
      </c>
      <c r="L512" t="s">
        <v>206</v>
      </c>
      <c r="M512" t="s">
        <v>207</v>
      </c>
      <c r="N512" t="s">
        <v>656</v>
      </c>
      <c r="O512" t="s">
        <v>82</v>
      </c>
      <c r="P512" t="str">
        <f>"4170062878                    "</f>
        <v xml:space="preserve">4170062878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134.04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12</v>
      </c>
      <c r="BJ512">
        <v>4.0999999999999996</v>
      </c>
      <c r="BK512">
        <v>12</v>
      </c>
      <c r="BL512">
        <v>425.44</v>
      </c>
      <c r="BM512">
        <v>63.82</v>
      </c>
      <c r="BN512">
        <v>489.26</v>
      </c>
      <c r="BO512">
        <v>489.26</v>
      </c>
      <c r="BQ512" t="s">
        <v>657</v>
      </c>
      <c r="BR512" t="s">
        <v>97</v>
      </c>
      <c r="BS512" s="3">
        <v>45937</v>
      </c>
      <c r="BT512" s="4">
        <v>0.4236111111111111</v>
      </c>
      <c r="BU512" t="s">
        <v>658</v>
      </c>
      <c r="BV512" t="s">
        <v>86</v>
      </c>
      <c r="BY512">
        <v>20358</v>
      </c>
      <c r="CA512" t="s">
        <v>211</v>
      </c>
      <c r="CC512" t="s">
        <v>207</v>
      </c>
      <c r="CD512">
        <v>7441</v>
      </c>
      <c r="CE512" t="s">
        <v>191</v>
      </c>
      <c r="CF512" s="3">
        <v>45938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"080068340707"</f>
        <v>080068340707</v>
      </c>
      <c r="F513" s="3">
        <v>45936</v>
      </c>
      <c r="G513">
        <v>202607</v>
      </c>
      <c r="H513" t="s">
        <v>79</v>
      </c>
      <c r="I513" t="s">
        <v>80</v>
      </c>
      <c r="J513" t="s">
        <v>91</v>
      </c>
      <c r="K513" t="s">
        <v>78</v>
      </c>
      <c r="L513" t="s">
        <v>121</v>
      </c>
      <c r="M513" t="s">
        <v>122</v>
      </c>
      <c r="N513" t="s">
        <v>159</v>
      </c>
      <c r="O513" t="s">
        <v>82</v>
      </c>
      <c r="P513" t="str">
        <f>"4170062924                    "</f>
        <v xml:space="preserve">4170062924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33.520000000000003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3</v>
      </c>
      <c r="BJ513">
        <v>1.9</v>
      </c>
      <c r="BK513">
        <v>3</v>
      </c>
      <c r="BL513">
        <v>106.4</v>
      </c>
      <c r="BM513">
        <v>15.96</v>
      </c>
      <c r="BN513">
        <v>122.36</v>
      </c>
      <c r="BO513">
        <v>122.36</v>
      </c>
      <c r="BQ513" t="s">
        <v>160</v>
      </c>
      <c r="BR513" t="s">
        <v>97</v>
      </c>
      <c r="BS513" s="3">
        <v>45937</v>
      </c>
      <c r="BT513" s="4">
        <v>0.50347222222222221</v>
      </c>
      <c r="BU513" t="s">
        <v>1050</v>
      </c>
      <c r="BV513" t="s">
        <v>90</v>
      </c>
      <c r="BW513" t="s">
        <v>136</v>
      </c>
      <c r="BX513" t="s">
        <v>858</v>
      </c>
      <c r="BY513">
        <v>9600</v>
      </c>
      <c r="CA513" t="s">
        <v>742</v>
      </c>
      <c r="CC513" t="s">
        <v>122</v>
      </c>
      <c r="CD513">
        <v>4000</v>
      </c>
      <c r="CE513" t="s">
        <v>191</v>
      </c>
      <c r="CF513" s="3">
        <v>45938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"080068340742"</f>
        <v>080068340742</v>
      </c>
      <c r="F514" s="3">
        <v>45936</v>
      </c>
      <c r="G514">
        <v>202607</v>
      </c>
      <c r="H514" t="s">
        <v>79</v>
      </c>
      <c r="I514" t="s">
        <v>80</v>
      </c>
      <c r="J514" t="s">
        <v>91</v>
      </c>
      <c r="K514" t="s">
        <v>78</v>
      </c>
      <c r="L514" t="s">
        <v>763</v>
      </c>
      <c r="M514" t="s">
        <v>764</v>
      </c>
      <c r="N514" t="s">
        <v>765</v>
      </c>
      <c r="O514" t="s">
        <v>82</v>
      </c>
      <c r="P514" t="str">
        <f>"4170062921                    "</f>
        <v xml:space="preserve">4170062921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43.31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0.9</v>
      </c>
      <c r="BK514">
        <v>2</v>
      </c>
      <c r="BL514">
        <v>137.47</v>
      </c>
      <c r="BM514">
        <v>20.62</v>
      </c>
      <c r="BN514">
        <v>158.09</v>
      </c>
      <c r="BO514">
        <v>158.09</v>
      </c>
      <c r="BQ514" t="s">
        <v>766</v>
      </c>
      <c r="BR514" t="s">
        <v>97</v>
      </c>
      <c r="BS514" s="3">
        <v>45937</v>
      </c>
      <c r="BT514" s="4">
        <v>0.42708333333333331</v>
      </c>
      <c r="BU514" t="s">
        <v>1175</v>
      </c>
      <c r="BV514" t="s">
        <v>86</v>
      </c>
      <c r="BY514">
        <v>4275</v>
      </c>
      <c r="CA514" t="s">
        <v>768</v>
      </c>
      <c r="CC514" t="s">
        <v>764</v>
      </c>
      <c r="CD514">
        <v>2531</v>
      </c>
      <c r="CE514" t="s">
        <v>191</v>
      </c>
      <c r="CF514" s="3">
        <v>45938</v>
      </c>
      <c r="CI514">
        <v>1</v>
      </c>
      <c r="CJ514">
        <v>1</v>
      </c>
      <c r="CK514">
        <v>23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"080068340804"</f>
        <v>080068340804</v>
      </c>
      <c r="F515" s="3">
        <v>45936</v>
      </c>
      <c r="G515">
        <v>202607</v>
      </c>
      <c r="H515" t="s">
        <v>79</v>
      </c>
      <c r="I515" t="s">
        <v>80</v>
      </c>
      <c r="J515" t="s">
        <v>91</v>
      </c>
      <c r="K515" t="s">
        <v>78</v>
      </c>
      <c r="L515" t="s">
        <v>206</v>
      </c>
      <c r="M515" t="s">
        <v>207</v>
      </c>
      <c r="N515" t="s">
        <v>734</v>
      </c>
      <c r="O515" t="s">
        <v>82</v>
      </c>
      <c r="P515" t="str">
        <f>"4170062846                    "</f>
        <v xml:space="preserve">4170062846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22.36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70.959999999999994</v>
      </c>
      <c r="BM515">
        <v>10.64</v>
      </c>
      <c r="BN515">
        <v>81.599999999999994</v>
      </c>
      <c r="BO515">
        <v>81.599999999999994</v>
      </c>
      <c r="BQ515" t="s">
        <v>735</v>
      </c>
      <c r="BR515" t="s">
        <v>97</v>
      </c>
      <c r="BS515" s="3">
        <v>45937</v>
      </c>
      <c r="BT515" s="4">
        <v>0.43055555555555558</v>
      </c>
      <c r="BU515" t="s">
        <v>736</v>
      </c>
      <c r="BV515" t="s">
        <v>86</v>
      </c>
      <c r="BY515">
        <v>1200</v>
      </c>
      <c r="CA515" t="s">
        <v>480</v>
      </c>
      <c r="CC515" t="s">
        <v>207</v>
      </c>
      <c r="CD515">
        <v>7480</v>
      </c>
      <c r="CE515" t="s">
        <v>147</v>
      </c>
      <c r="CF515" s="3">
        <v>45938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"080068340836"</f>
        <v>080068340836</v>
      </c>
      <c r="F516" s="3">
        <v>45936</v>
      </c>
      <c r="G516">
        <v>202607</v>
      </c>
      <c r="H516" t="s">
        <v>79</v>
      </c>
      <c r="I516" t="s">
        <v>80</v>
      </c>
      <c r="J516" t="s">
        <v>91</v>
      </c>
      <c r="K516" t="s">
        <v>78</v>
      </c>
      <c r="L516" t="s">
        <v>271</v>
      </c>
      <c r="M516" t="s">
        <v>272</v>
      </c>
      <c r="N516" t="s">
        <v>443</v>
      </c>
      <c r="O516" t="s">
        <v>82</v>
      </c>
      <c r="P516" t="str">
        <f>"4170062956                    "</f>
        <v xml:space="preserve">4170062956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17.46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55.42</v>
      </c>
      <c r="BM516">
        <v>8.31</v>
      </c>
      <c r="BN516">
        <v>63.73</v>
      </c>
      <c r="BO516">
        <v>63.73</v>
      </c>
      <c r="BQ516" t="s">
        <v>444</v>
      </c>
      <c r="BR516" t="s">
        <v>97</v>
      </c>
      <c r="BS516" s="3">
        <v>45937</v>
      </c>
      <c r="BT516" s="4">
        <v>0.43055555555555558</v>
      </c>
      <c r="BU516" t="s">
        <v>1206</v>
      </c>
      <c r="BV516" t="s">
        <v>86</v>
      </c>
      <c r="BY516">
        <v>1200</v>
      </c>
      <c r="CC516" t="s">
        <v>272</v>
      </c>
      <c r="CD516">
        <v>1428</v>
      </c>
      <c r="CE516" t="s">
        <v>147</v>
      </c>
      <c r="CF516" s="3">
        <v>45938</v>
      </c>
      <c r="CI516">
        <v>1</v>
      </c>
      <c r="CJ516">
        <v>1</v>
      </c>
      <c r="CK516">
        <v>22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"080068340857"</f>
        <v>080068340857</v>
      </c>
      <c r="F517" s="3">
        <v>45936</v>
      </c>
      <c r="G517">
        <v>202607</v>
      </c>
      <c r="H517" t="s">
        <v>79</v>
      </c>
      <c r="I517" t="s">
        <v>80</v>
      </c>
      <c r="J517" t="s">
        <v>91</v>
      </c>
      <c r="K517" t="s">
        <v>78</v>
      </c>
      <c r="L517" t="s">
        <v>642</v>
      </c>
      <c r="M517" t="s">
        <v>643</v>
      </c>
      <c r="N517" t="s">
        <v>644</v>
      </c>
      <c r="O517" t="s">
        <v>82</v>
      </c>
      <c r="P517" t="str">
        <f>"4170063086                    "</f>
        <v xml:space="preserve">4170063086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43.31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137.47</v>
      </c>
      <c r="BM517">
        <v>20.62</v>
      </c>
      <c r="BN517">
        <v>158.09</v>
      </c>
      <c r="BO517">
        <v>158.09</v>
      </c>
      <c r="BQ517" t="s">
        <v>645</v>
      </c>
      <c r="BR517" t="s">
        <v>97</v>
      </c>
      <c r="BS517" s="3">
        <v>45937</v>
      </c>
      <c r="BT517" s="4">
        <v>0.53472222222222221</v>
      </c>
      <c r="BU517" t="s">
        <v>1207</v>
      </c>
      <c r="BV517" t="s">
        <v>86</v>
      </c>
      <c r="BY517">
        <v>1200</v>
      </c>
      <c r="CC517" t="s">
        <v>643</v>
      </c>
      <c r="CD517">
        <v>5850</v>
      </c>
      <c r="CE517" t="s">
        <v>147</v>
      </c>
      <c r="CF517" s="3">
        <v>45939</v>
      </c>
      <c r="CI517">
        <v>2</v>
      </c>
      <c r="CJ517">
        <v>1</v>
      </c>
      <c r="CK517">
        <v>23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"080068340872"</f>
        <v>080068340872</v>
      </c>
      <c r="F518" s="3">
        <v>45936</v>
      </c>
      <c r="G518">
        <v>202607</v>
      </c>
      <c r="H518" t="s">
        <v>79</v>
      </c>
      <c r="I518" t="s">
        <v>80</v>
      </c>
      <c r="J518" t="s">
        <v>91</v>
      </c>
      <c r="K518" t="s">
        <v>78</v>
      </c>
      <c r="L518" t="s">
        <v>453</v>
      </c>
      <c r="M518" t="s">
        <v>454</v>
      </c>
      <c r="N518" t="s">
        <v>639</v>
      </c>
      <c r="O518" t="s">
        <v>82</v>
      </c>
      <c r="P518" t="str">
        <f>"4170063090                    "</f>
        <v xml:space="preserve">4170063090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22.36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70.959999999999994</v>
      </c>
      <c r="BM518">
        <v>10.64</v>
      </c>
      <c r="BN518">
        <v>81.599999999999994</v>
      </c>
      <c r="BO518">
        <v>81.599999999999994</v>
      </c>
      <c r="BQ518" t="s">
        <v>640</v>
      </c>
      <c r="BR518" t="s">
        <v>97</v>
      </c>
      <c r="BS518" s="3">
        <v>45937</v>
      </c>
      <c r="BT518" s="4">
        <v>0.43611111111111112</v>
      </c>
      <c r="BU518" t="s">
        <v>641</v>
      </c>
      <c r="BV518" t="s">
        <v>86</v>
      </c>
      <c r="BY518">
        <v>1200</v>
      </c>
      <c r="CA518" t="s">
        <v>457</v>
      </c>
      <c r="CC518" t="s">
        <v>454</v>
      </c>
      <c r="CD518">
        <v>3610</v>
      </c>
      <c r="CE518" t="s">
        <v>147</v>
      </c>
      <c r="CF518" s="3">
        <v>45938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"080068340882"</f>
        <v>080068340882</v>
      </c>
      <c r="F519" s="3">
        <v>45936</v>
      </c>
      <c r="G519">
        <v>202607</v>
      </c>
      <c r="H519" t="s">
        <v>79</v>
      </c>
      <c r="I519" t="s">
        <v>80</v>
      </c>
      <c r="J519" t="s">
        <v>91</v>
      </c>
      <c r="K519" t="s">
        <v>78</v>
      </c>
      <c r="L519" t="s">
        <v>1208</v>
      </c>
      <c r="M519" t="s">
        <v>1209</v>
      </c>
      <c r="N519" t="s">
        <v>1210</v>
      </c>
      <c r="O519" t="s">
        <v>82</v>
      </c>
      <c r="P519" t="str">
        <f>"4170062881                    "</f>
        <v xml:space="preserve">4170062881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43.31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137.47</v>
      </c>
      <c r="BM519">
        <v>20.62</v>
      </c>
      <c r="BN519">
        <v>158.09</v>
      </c>
      <c r="BO519">
        <v>158.09</v>
      </c>
      <c r="BQ519" t="s">
        <v>1211</v>
      </c>
      <c r="BR519" t="s">
        <v>97</v>
      </c>
      <c r="BS519" s="3">
        <v>45937</v>
      </c>
      <c r="BT519" s="4">
        <v>0.69930555555555551</v>
      </c>
      <c r="BU519" t="s">
        <v>1212</v>
      </c>
      <c r="BV519" t="s">
        <v>86</v>
      </c>
      <c r="BY519">
        <v>1200</v>
      </c>
      <c r="CA519" t="s">
        <v>1213</v>
      </c>
      <c r="CC519" t="s">
        <v>1209</v>
      </c>
      <c r="CD519">
        <v>9880</v>
      </c>
      <c r="CE519" t="s">
        <v>147</v>
      </c>
      <c r="CF519" s="3">
        <v>45938</v>
      </c>
      <c r="CI519">
        <v>1</v>
      </c>
      <c r="CJ519">
        <v>1</v>
      </c>
      <c r="CK519">
        <v>23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"080068340932"</f>
        <v>080068340932</v>
      </c>
      <c r="F520" s="3">
        <v>45936</v>
      </c>
      <c r="G520">
        <v>202607</v>
      </c>
      <c r="H520" t="s">
        <v>79</v>
      </c>
      <c r="I520" t="s">
        <v>80</v>
      </c>
      <c r="J520" t="s">
        <v>91</v>
      </c>
      <c r="K520" t="s">
        <v>78</v>
      </c>
      <c r="L520" t="s">
        <v>121</v>
      </c>
      <c r="M520" t="s">
        <v>122</v>
      </c>
      <c r="N520" t="s">
        <v>707</v>
      </c>
      <c r="O520" t="s">
        <v>82</v>
      </c>
      <c r="P520" t="str">
        <f>"4170062910                    "</f>
        <v xml:space="preserve">4170062910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55.86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5</v>
      </c>
      <c r="BJ520">
        <v>3.1</v>
      </c>
      <c r="BK520">
        <v>5</v>
      </c>
      <c r="BL520">
        <v>177.3</v>
      </c>
      <c r="BM520">
        <v>26.6</v>
      </c>
      <c r="BN520">
        <v>203.9</v>
      </c>
      <c r="BO520">
        <v>203.9</v>
      </c>
      <c r="BQ520" t="s">
        <v>708</v>
      </c>
      <c r="BR520" t="s">
        <v>97</v>
      </c>
      <c r="BS520" s="3">
        <v>45937</v>
      </c>
      <c r="BT520" s="4">
        <v>0.41666666666666669</v>
      </c>
      <c r="BU520" t="s">
        <v>1214</v>
      </c>
      <c r="BV520" t="s">
        <v>86</v>
      </c>
      <c r="BY520">
        <v>15288</v>
      </c>
      <c r="CA520" t="s">
        <v>1215</v>
      </c>
      <c r="CC520" t="s">
        <v>122</v>
      </c>
      <c r="CD520">
        <v>4001</v>
      </c>
      <c r="CE520" t="s">
        <v>191</v>
      </c>
      <c r="CF520" s="3">
        <v>45937</v>
      </c>
      <c r="CI520">
        <v>1</v>
      </c>
      <c r="CJ520">
        <v>1</v>
      </c>
      <c r="CK520">
        <v>21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"080068340959"</f>
        <v>080068340959</v>
      </c>
      <c r="F521" s="3">
        <v>45936</v>
      </c>
      <c r="G521">
        <v>202607</v>
      </c>
      <c r="H521" t="s">
        <v>79</v>
      </c>
      <c r="I521" t="s">
        <v>80</v>
      </c>
      <c r="J521" t="s">
        <v>91</v>
      </c>
      <c r="K521" t="s">
        <v>78</v>
      </c>
      <c r="L521" t="s">
        <v>114</v>
      </c>
      <c r="M521" t="s">
        <v>115</v>
      </c>
      <c r="N521" t="s">
        <v>116</v>
      </c>
      <c r="O521" t="s">
        <v>82</v>
      </c>
      <c r="P521" t="str">
        <f>"4170062966                    "</f>
        <v xml:space="preserve">4170062966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22.36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0.9</v>
      </c>
      <c r="BK521">
        <v>1</v>
      </c>
      <c r="BL521">
        <v>70.959999999999994</v>
      </c>
      <c r="BM521">
        <v>10.64</v>
      </c>
      <c r="BN521">
        <v>81.599999999999994</v>
      </c>
      <c r="BO521">
        <v>81.599999999999994</v>
      </c>
      <c r="BQ521" t="s">
        <v>117</v>
      </c>
      <c r="BR521" t="s">
        <v>97</v>
      </c>
      <c r="BS521" s="3">
        <v>45937</v>
      </c>
      <c r="BT521" s="4">
        <v>0.55555555555555558</v>
      </c>
      <c r="BU521" t="s">
        <v>1196</v>
      </c>
      <c r="BV521" t="s">
        <v>90</v>
      </c>
      <c r="BY521">
        <v>4275</v>
      </c>
      <c r="CA521" t="s">
        <v>119</v>
      </c>
      <c r="CC521" t="s">
        <v>115</v>
      </c>
      <c r="CD521">
        <v>5200</v>
      </c>
      <c r="CE521" t="s">
        <v>191</v>
      </c>
      <c r="CF521" s="3">
        <v>45937</v>
      </c>
      <c r="CI521">
        <v>1</v>
      </c>
      <c r="CJ521">
        <v>1</v>
      </c>
      <c r="CK521">
        <v>21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"080068340982"</f>
        <v>080068340982</v>
      </c>
      <c r="F522" s="3">
        <v>45936</v>
      </c>
      <c r="G522">
        <v>202607</v>
      </c>
      <c r="H522" t="s">
        <v>79</v>
      </c>
      <c r="I522" t="s">
        <v>80</v>
      </c>
      <c r="J522" t="s">
        <v>91</v>
      </c>
      <c r="K522" t="s">
        <v>78</v>
      </c>
      <c r="L522" t="s">
        <v>108</v>
      </c>
      <c r="M522" t="s">
        <v>109</v>
      </c>
      <c r="N522" t="s">
        <v>229</v>
      </c>
      <c r="O522" t="s">
        <v>82</v>
      </c>
      <c r="P522" t="str">
        <f>"4170063062                    "</f>
        <v xml:space="preserve">4170063062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22.36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70.959999999999994</v>
      </c>
      <c r="BM522">
        <v>10.64</v>
      </c>
      <c r="BN522">
        <v>81.599999999999994</v>
      </c>
      <c r="BO522">
        <v>81.599999999999994</v>
      </c>
      <c r="BQ522" t="s">
        <v>230</v>
      </c>
      <c r="BR522" t="s">
        <v>97</v>
      </c>
      <c r="BS522" s="3">
        <v>45937</v>
      </c>
      <c r="BT522" s="4">
        <v>0.36249999999999999</v>
      </c>
      <c r="BU522" t="s">
        <v>1158</v>
      </c>
      <c r="BV522" t="s">
        <v>86</v>
      </c>
      <c r="BY522">
        <v>1200</v>
      </c>
      <c r="CA522" t="s">
        <v>1145</v>
      </c>
      <c r="CC522" t="s">
        <v>109</v>
      </c>
      <c r="CD522">
        <v>6001</v>
      </c>
      <c r="CE522" t="s">
        <v>147</v>
      </c>
      <c r="CF522" s="3">
        <v>45937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"080068341038"</f>
        <v>080068341038</v>
      </c>
      <c r="F523" s="3">
        <v>45936</v>
      </c>
      <c r="G523">
        <v>202607</v>
      </c>
      <c r="H523" t="s">
        <v>79</v>
      </c>
      <c r="I523" t="s">
        <v>80</v>
      </c>
      <c r="J523" t="s">
        <v>91</v>
      </c>
      <c r="K523" t="s">
        <v>78</v>
      </c>
      <c r="L523" t="s">
        <v>148</v>
      </c>
      <c r="M523" t="s">
        <v>149</v>
      </c>
      <c r="N523" t="s">
        <v>952</v>
      </c>
      <c r="O523" t="s">
        <v>82</v>
      </c>
      <c r="P523" t="str">
        <f>"4170062967                    "</f>
        <v xml:space="preserve">4170062967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17.46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55.42</v>
      </c>
      <c r="BM523">
        <v>8.31</v>
      </c>
      <c r="BN523">
        <v>63.73</v>
      </c>
      <c r="BO523">
        <v>63.73</v>
      </c>
      <c r="BQ523" t="s">
        <v>953</v>
      </c>
      <c r="BR523" t="s">
        <v>97</v>
      </c>
      <c r="BS523" s="3">
        <v>45937</v>
      </c>
      <c r="BT523" s="4">
        <v>0.40833333333333333</v>
      </c>
      <c r="BU523" t="s">
        <v>1216</v>
      </c>
      <c r="BV523" t="s">
        <v>86</v>
      </c>
      <c r="BY523">
        <v>1200</v>
      </c>
      <c r="CA523" t="s">
        <v>1217</v>
      </c>
      <c r="CC523" t="s">
        <v>149</v>
      </c>
      <c r="CD523">
        <v>2091</v>
      </c>
      <c r="CE523" t="s">
        <v>147</v>
      </c>
      <c r="CF523" s="3">
        <v>45937</v>
      </c>
      <c r="CI523">
        <v>1</v>
      </c>
      <c r="CJ523">
        <v>1</v>
      </c>
      <c r="CK523">
        <v>22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"080068341162"</f>
        <v>080068341162</v>
      </c>
      <c r="F524" s="3">
        <v>45936</v>
      </c>
      <c r="G524">
        <v>202607</v>
      </c>
      <c r="H524" t="s">
        <v>79</v>
      </c>
      <c r="I524" t="s">
        <v>80</v>
      </c>
      <c r="J524" t="s">
        <v>91</v>
      </c>
      <c r="K524" t="s">
        <v>78</v>
      </c>
      <c r="L524" t="s">
        <v>168</v>
      </c>
      <c r="M524" t="s">
        <v>169</v>
      </c>
      <c r="N524" t="s">
        <v>1218</v>
      </c>
      <c r="O524" t="s">
        <v>82</v>
      </c>
      <c r="P524" t="str">
        <f>"4170062841                    "</f>
        <v xml:space="preserve">4170062841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22.36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70.959999999999994</v>
      </c>
      <c r="BM524">
        <v>10.64</v>
      </c>
      <c r="BN524">
        <v>81.599999999999994</v>
      </c>
      <c r="BO524">
        <v>81.599999999999994</v>
      </c>
      <c r="BQ524" t="s">
        <v>1219</v>
      </c>
      <c r="BR524" t="s">
        <v>97</v>
      </c>
      <c r="BS524" s="3">
        <v>45937</v>
      </c>
      <c r="BT524" s="4">
        <v>0.4</v>
      </c>
      <c r="BU524" t="s">
        <v>1220</v>
      </c>
      <c r="BV524" t="s">
        <v>86</v>
      </c>
      <c r="BY524">
        <v>1200</v>
      </c>
      <c r="CA524" t="s">
        <v>1060</v>
      </c>
      <c r="CC524" t="s">
        <v>169</v>
      </c>
      <c r="CD524" s="5" t="s">
        <v>1061</v>
      </c>
      <c r="CE524" t="s">
        <v>147</v>
      </c>
      <c r="CF524" s="3">
        <v>45937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"080068341185"</f>
        <v>080068341185</v>
      </c>
      <c r="F525" s="3">
        <v>45936</v>
      </c>
      <c r="G525">
        <v>202607</v>
      </c>
      <c r="H525" t="s">
        <v>79</v>
      </c>
      <c r="I525" t="s">
        <v>80</v>
      </c>
      <c r="J525" t="s">
        <v>91</v>
      </c>
      <c r="K525" t="s">
        <v>78</v>
      </c>
      <c r="L525" t="s">
        <v>121</v>
      </c>
      <c r="M525" t="s">
        <v>122</v>
      </c>
      <c r="N525" t="s">
        <v>911</v>
      </c>
      <c r="O525" t="s">
        <v>82</v>
      </c>
      <c r="P525" t="str">
        <f>"4170062880                    "</f>
        <v xml:space="preserve">4170062880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22.36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70.959999999999994</v>
      </c>
      <c r="BM525">
        <v>10.64</v>
      </c>
      <c r="BN525">
        <v>81.599999999999994</v>
      </c>
      <c r="BO525">
        <v>81.599999999999994</v>
      </c>
      <c r="BQ525" t="s">
        <v>912</v>
      </c>
      <c r="BR525" t="s">
        <v>97</v>
      </c>
      <c r="BS525" s="3">
        <v>45938</v>
      </c>
      <c r="BT525" s="4">
        <v>0.41666666666666669</v>
      </c>
      <c r="BU525" t="s">
        <v>1221</v>
      </c>
      <c r="BV525" t="s">
        <v>90</v>
      </c>
      <c r="BW525" t="s">
        <v>136</v>
      </c>
      <c r="BX525" t="s">
        <v>1222</v>
      </c>
      <c r="BY525">
        <v>1200</v>
      </c>
      <c r="CC525" t="s">
        <v>122</v>
      </c>
      <c r="CD525">
        <v>4068</v>
      </c>
      <c r="CE525" t="s">
        <v>147</v>
      </c>
      <c r="CF525" s="3">
        <v>45939</v>
      </c>
      <c r="CI525">
        <v>1</v>
      </c>
      <c r="CJ525">
        <v>2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"080068341210"</f>
        <v>080068341210</v>
      </c>
      <c r="F526" s="3">
        <v>45936</v>
      </c>
      <c r="G526">
        <v>202607</v>
      </c>
      <c r="H526" t="s">
        <v>79</v>
      </c>
      <c r="I526" t="s">
        <v>80</v>
      </c>
      <c r="J526" t="s">
        <v>91</v>
      </c>
      <c r="K526" t="s">
        <v>78</v>
      </c>
      <c r="L526" t="s">
        <v>206</v>
      </c>
      <c r="M526" t="s">
        <v>207</v>
      </c>
      <c r="N526" t="s">
        <v>656</v>
      </c>
      <c r="O526" t="s">
        <v>82</v>
      </c>
      <c r="P526" t="str">
        <f>"4170063050                    "</f>
        <v xml:space="preserve">4170063050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22.36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70.959999999999994</v>
      </c>
      <c r="BM526">
        <v>10.64</v>
      </c>
      <c r="BN526">
        <v>81.599999999999994</v>
      </c>
      <c r="BO526">
        <v>81.599999999999994</v>
      </c>
      <c r="BQ526" t="s">
        <v>657</v>
      </c>
      <c r="BR526" t="s">
        <v>97</v>
      </c>
      <c r="BS526" s="3">
        <v>45937</v>
      </c>
      <c r="BT526" s="4">
        <v>0.4236111111111111</v>
      </c>
      <c r="BU526" t="s">
        <v>658</v>
      </c>
      <c r="BV526" t="s">
        <v>86</v>
      </c>
      <c r="BY526">
        <v>1200</v>
      </c>
      <c r="CA526" t="s">
        <v>211</v>
      </c>
      <c r="CC526" t="s">
        <v>207</v>
      </c>
      <c r="CD526">
        <v>7441</v>
      </c>
      <c r="CE526" t="s">
        <v>147</v>
      </c>
      <c r="CF526" s="3">
        <v>45938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"080068341340"</f>
        <v>080068341340</v>
      </c>
      <c r="F527" s="3">
        <v>45936</v>
      </c>
      <c r="G527">
        <v>202607</v>
      </c>
      <c r="H527" t="s">
        <v>79</v>
      </c>
      <c r="I527" t="s">
        <v>80</v>
      </c>
      <c r="J527" t="s">
        <v>91</v>
      </c>
      <c r="K527" t="s">
        <v>78</v>
      </c>
      <c r="L527" t="s">
        <v>453</v>
      </c>
      <c r="M527" t="s">
        <v>454</v>
      </c>
      <c r="N527" t="s">
        <v>1223</v>
      </c>
      <c r="O527" t="s">
        <v>82</v>
      </c>
      <c r="P527" t="str">
        <f>"4170062852                    "</f>
        <v xml:space="preserve">4170062852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22.36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70.959999999999994</v>
      </c>
      <c r="BM527">
        <v>10.64</v>
      </c>
      <c r="BN527">
        <v>81.599999999999994</v>
      </c>
      <c r="BO527">
        <v>81.599999999999994</v>
      </c>
      <c r="BQ527" t="s">
        <v>1224</v>
      </c>
      <c r="BR527" t="s">
        <v>97</v>
      </c>
      <c r="BS527" s="3">
        <v>45937</v>
      </c>
      <c r="BT527" s="4">
        <v>0.56805555555555554</v>
      </c>
      <c r="BU527" t="s">
        <v>1225</v>
      </c>
      <c r="BV527" t="s">
        <v>90</v>
      </c>
      <c r="BW527" t="s">
        <v>136</v>
      </c>
      <c r="BX527" t="s">
        <v>858</v>
      </c>
      <c r="BY527">
        <v>1200</v>
      </c>
      <c r="CA527" t="s">
        <v>742</v>
      </c>
      <c r="CC527" t="s">
        <v>454</v>
      </c>
      <c r="CD527">
        <v>3610</v>
      </c>
      <c r="CE527" t="s">
        <v>147</v>
      </c>
      <c r="CF527" s="3">
        <v>45938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"080068341365"</f>
        <v>080068341365</v>
      </c>
      <c r="F528" s="3">
        <v>45936</v>
      </c>
      <c r="G528">
        <v>202607</v>
      </c>
      <c r="H528" t="s">
        <v>79</v>
      </c>
      <c r="I528" t="s">
        <v>80</v>
      </c>
      <c r="J528" t="s">
        <v>91</v>
      </c>
      <c r="K528" t="s">
        <v>78</v>
      </c>
      <c r="L528" t="s">
        <v>121</v>
      </c>
      <c r="M528" t="s">
        <v>122</v>
      </c>
      <c r="N528" t="s">
        <v>574</v>
      </c>
      <c r="O528" t="s">
        <v>82</v>
      </c>
      <c r="P528" t="str">
        <f>"4170063011                    "</f>
        <v xml:space="preserve">4170063011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22.36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70.959999999999994</v>
      </c>
      <c r="BM528">
        <v>10.64</v>
      </c>
      <c r="BN528">
        <v>81.599999999999994</v>
      </c>
      <c r="BO528">
        <v>81.599999999999994</v>
      </c>
      <c r="BQ528" t="s">
        <v>575</v>
      </c>
      <c r="BR528" t="s">
        <v>97</v>
      </c>
      <c r="BS528" s="3">
        <v>45937</v>
      </c>
      <c r="BT528" s="4">
        <v>0.52569444444444446</v>
      </c>
      <c r="BU528" t="s">
        <v>1226</v>
      </c>
      <c r="BV528" t="s">
        <v>90</v>
      </c>
      <c r="BW528" t="s">
        <v>136</v>
      </c>
      <c r="BX528" t="s">
        <v>858</v>
      </c>
      <c r="BY528">
        <v>1200</v>
      </c>
      <c r="CA528" t="s">
        <v>1227</v>
      </c>
      <c r="CC528" t="s">
        <v>122</v>
      </c>
      <c r="CD528">
        <v>4094</v>
      </c>
      <c r="CE528" t="s">
        <v>147</v>
      </c>
      <c r="CF528" s="3">
        <v>45938</v>
      </c>
      <c r="CI528">
        <v>1</v>
      </c>
      <c r="CJ528">
        <v>1</v>
      </c>
      <c r="CK528">
        <v>21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"080068341396"</f>
        <v>080068341396</v>
      </c>
      <c r="F529" s="3">
        <v>45936</v>
      </c>
      <c r="G529">
        <v>202607</v>
      </c>
      <c r="H529" t="s">
        <v>79</v>
      </c>
      <c r="I529" t="s">
        <v>80</v>
      </c>
      <c r="J529" t="s">
        <v>91</v>
      </c>
      <c r="K529" t="s">
        <v>78</v>
      </c>
      <c r="L529" t="s">
        <v>453</v>
      </c>
      <c r="M529" t="s">
        <v>454</v>
      </c>
      <c r="N529" t="s">
        <v>968</v>
      </c>
      <c r="O529" t="s">
        <v>82</v>
      </c>
      <c r="P529" t="str">
        <f>"4170063049                    "</f>
        <v xml:space="preserve">4170063049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22.36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70.959999999999994</v>
      </c>
      <c r="BM529">
        <v>10.64</v>
      </c>
      <c r="BN529">
        <v>81.599999999999994</v>
      </c>
      <c r="BO529">
        <v>81.599999999999994</v>
      </c>
      <c r="BQ529" t="s">
        <v>969</v>
      </c>
      <c r="BR529" t="s">
        <v>97</v>
      </c>
      <c r="BS529" s="3">
        <v>45937</v>
      </c>
      <c r="BT529" s="4">
        <v>0.42083333333333334</v>
      </c>
      <c r="BU529" t="s">
        <v>1228</v>
      </c>
      <c r="BV529" t="s">
        <v>86</v>
      </c>
      <c r="BY529">
        <v>1200</v>
      </c>
      <c r="CA529" t="s">
        <v>457</v>
      </c>
      <c r="CC529" t="s">
        <v>454</v>
      </c>
      <c r="CD529">
        <v>3600</v>
      </c>
      <c r="CE529" t="s">
        <v>147</v>
      </c>
      <c r="CF529" s="3">
        <v>45938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"080068341422"</f>
        <v>080068341422</v>
      </c>
      <c r="F530" s="3">
        <v>45936</v>
      </c>
      <c r="G530">
        <v>202607</v>
      </c>
      <c r="H530" t="s">
        <v>79</v>
      </c>
      <c r="I530" t="s">
        <v>80</v>
      </c>
      <c r="J530" t="s">
        <v>91</v>
      </c>
      <c r="K530" t="s">
        <v>78</v>
      </c>
      <c r="L530" t="s">
        <v>121</v>
      </c>
      <c r="M530" t="s">
        <v>122</v>
      </c>
      <c r="N530" t="s">
        <v>707</v>
      </c>
      <c r="O530" t="s">
        <v>82</v>
      </c>
      <c r="P530" t="str">
        <f>"4170063054                    "</f>
        <v xml:space="preserve">4170063054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22.36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70.959999999999994</v>
      </c>
      <c r="BM530">
        <v>10.64</v>
      </c>
      <c r="BN530">
        <v>81.599999999999994</v>
      </c>
      <c r="BO530">
        <v>81.599999999999994</v>
      </c>
      <c r="BQ530" t="s">
        <v>1229</v>
      </c>
      <c r="BR530" t="s">
        <v>97</v>
      </c>
      <c r="BS530" s="3">
        <v>45938</v>
      </c>
      <c r="BT530" s="4">
        <v>0.41180555555555554</v>
      </c>
      <c r="BU530" t="s">
        <v>1230</v>
      </c>
      <c r="BV530" t="s">
        <v>90</v>
      </c>
      <c r="BW530" t="s">
        <v>136</v>
      </c>
      <c r="BX530" t="s">
        <v>787</v>
      </c>
      <c r="BY530">
        <v>1200</v>
      </c>
      <c r="CA530" t="s">
        <v>321</v>
      </c>
      <c r="CC530" t="s">
        <v>122</v>
      </c>
      <c r="CD530">
        <v>4001</v>
      </c>
      <c r="CE530" t="s">
        <v>147</v>
      </c>
      <c r="CF530" s="3">
        <v>45938</v>
      </c>
      <c r="CI530">
        <v>1</v>
      </c>
      <c r="CJ530">
        <v>2</v>
      </c>
      <c r="CK530">
        <v>21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"080068341445"</f>
        <v>080068341445</v>
      </c>
      <c r="F531" s="3">
        <v>45936</v>
      </c>
      <c r="G531">
        <v>202607</v>
      </c>
      <c r="H531" t="s">
        <v>79</v>
      </c>
      <c r="I531" t="s">
        <v>80</v>
      </c>
      <c r="J531" t="s">
        <v>91</v>
      </c>
      <c r="K531" t="s">
        <v>78</v>
      </c>
      <c r="L531" t="s">
        <v>168</v>
      </c>
      <c r="M531" t="s">
        <v>169</v>
      </c>
      <c r="N531" t="s">
        <v>584</v>
      </c>
      <c r="O531" t="s">
        <v>82</v>
      </c>
      <c r="P531" t="str">
        <f>"4170063032                    "</f>
        <v xml:space="preserve">4170063032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22.36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70.959999999999994</v>
      </c>
      <c r="BM531">
        <v>10.64</v>
      </c>
      <c r="BN531">
        <v>81.599999999999994</v>
      </c>
      <c r="BO531">
        <v>81.599999999999994</v>
      </c>
      <c r="BQ531" t="s">
        <v>585</v>
      </c>
      <c r="BR531" t="s">
        <v>97</v>
      </c>
      <c r="BS531" s="3">
        <v>45937</v>
      </c>
      <c r="BT531" s="4">
        <v>0.4284722222222222</v>
      </c>
      <c r="BU531" t="s">
        <v>1159</v>
      </c>
      <c r="BV531" t="s">
        <v>86</v>
      </c>
      <c r="BY531">
        <v>1200</v>
      </c>
      <c r="CC531" t="s">
        <v>169</v>
      </c>
      <c r="CD531" s="5" t="s">
        <v>190</v>
      </c>
      <c r="CE531" t="s">
        <v>147</v>
      </c>
      <c r="CF531" s="3">
        <v>45937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"080068341468"</f>
        <v>080068341468</v>
      </c>
      <c r="F532" s="3">
        <v>45936</v>
      </c>
      <c r="G532">
        <v>202607</v>
      </c>
      <c r="H532" t="s">
        <v>79</v>
      </c>
      <c r="I532" t="s">
        <v>80</v>
      </c>
      <c r="J532" t="s">
        <v>91</v>
      </c>
      <c r="K532" t="s">
        <v>78</v>
      </c>
      <c r="L532" t="s">
        <v>206</v>
      </c>
      <c r="M532" t="s">
        <v>207</v>
      </c>
      <c r="N532" t="s">
        <v>458</v>
      </c>
      <c r="O532" t="s">
        <v>82</v>
      </c>
      <c r="P532" t="str">
        <f>"4170062859                    "</f>
        <v xml:space="preserve">4170062859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22.36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70.959999999999994</v>
      </c>
      <c r="BM532">
        <v>10.64</v>
      </c>
      <c r="BN532">
        <v>81.599999999999994</v>
      </c>
      <c r="BO532">
        <v>81.599999999999994</v>
      </c>
      <c r="BQ532" t="s">
        <v>459</v>
      </c>
      <c r="BR532" t="s">
        <v>97</v>
      </c>
      <c r="BS532" s="3">
        <v>45937</v>
      </c>
      <c r="BT532" s="4">
        <v>0.50694444444444442</v>
      </c>
      <c r="BU532" t="s">
        <v>1194</v>
      </c>
      <c r="BV532" t="s">
        <v>90</v>
      </c>
      <c r="BW532" t="s">
        <v>188</v>
      </c>
      <c r="BX532" t="s">
        <v>1038</v>
      </c>
      <c r="BY532">
        <v>1200</v>
      </c>
      <c r="CC532" t="s">
        <v>207</v>
      </c>
      <c r="CD532">
        <v>7530</v>
      </c>
      <c r="CE532" t="s">
        <v>147</v>
      </c>
      <c r="CF532" s="3">
        <v>45938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"080068341890"</f>
        <v>080068341890</v>
      </c>
      <c r="F533" s="3">
        <v>45936</v>
      </c>
      <c r="G533">
        <v>202607</v>
      </c>
      <c r="H533" t="s">
        <v>79</v>
      </c>
      <c r="I533" t="s">
        <v>80</v>
      </c>
      <c r="J533" t="s">
        <v>91</v>
      </c>
      <c r="K533" t="s">
        <v>78</v>
      </c>
      <c r="L533" t="s">
        <v>206</v>
      </c>
      <c r="M533" t="s">
        <v>207</v>
      </c>
      <c r="N533" t="s">
        <v>458</v>
      </c>
      <c r="O533" t="s">
        <v>82</v>
      </c>
      <c r="P533" t="str">
        <f>"4170062865                    "</f>
        <v xml:space="preserve">4170062865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22.36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70.959999999999994</v>
      </c>
      <c r="BM533">
        <v>10.64</v>
      </c>
      <c r="BN533">
        <v>81.599999999999994</v>
      </c>
      <c r="BO533">
        <v>81.599999999999994</v>
      </c>
      <c r="BQ533" t="s">
        <v>459</v>
      </c>
      <c r="BR533" t="s">
        <v>97</v>
      </c>
      <c r="BS533" s="3">
        <v>45937</v>
      </c>
      <c r="BT533" s="4">
        <v>0.50694444444444442</v>
      </c>
      <c r="BU533" t="s">
        <v>1194</v>
      </c>
      <c r="BV533" t="s">
        <v>90</v>
      </c>
      <c r="BW533" t="s">
        <v>347</v>
      </c>
      <c r="BX533" t="s">
        <v>1038</v>
      </c>
      <c r="BY533">
        <v>1200</v>
      </c>
      <c r="CC533" t="s">
        <v>207</v>
      </c>
      <c r="CD533">
        <v>7530</v>
      </c>
      <c r="CE533" t="s">
        <v>147</v>
      </c>
      <c r="CF533" s="3">
        <v>45938</v>
      </c>
      <c r="CI533">
        <v>1</v>
      </c>
      <c r="CJ533">
        <v>1</v>
      </c>
      <c r="CK533">
        <v>21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"080068341910"</f>
        <v>080068341910</v>
      </c>
      <c r="F534" s="3">
        <v>45936</v>
      </c>
      <c r="G534">
        <v>202607</v>
      </c>
      <c r="H534" t="s">
        <v>79</v>
      </c>
      <c r="I534" t="s">
        <v>80</v>
      </c>
      <c r="J534" t="s">
        <v>91</v>
      </c>
      <c r="K534" t="s">
        <v>78</v>
      </c>
      <c r="L534" t="s">
        <v>322</v>
      </c>
      <c r="M534" t="s">
        <v>322</v>
      </c>
      <c r="N534" t="s">
        <v>483</v>
      </c>
      <c r="O534" t="s">
        <v>82</v>
      </c>
      <c r="P534" t="str">
        <f>"4170062905                    "</f>
        <v xml:space="preserve">4170062905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43.31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137.47</v>
      </c>
      <c r="BM534">
        <v>20.62</v>
      </c>
      <c r="BN534">
        <v>158.09</v>
      </c>
      <c r="BO534">
        <v>158.09</v>
      </c>
      <c r="BQ534" t="s">
        <v>484</v>
      </c>
      <c r="BR534" t="s">
        <v>97</v>
      </c>
      <c r="BS534" s="3">
        <v>45937</v>
      </c>
      <c r="BT534" s="4">
        <v>0.52569444444444446</v>
      </c>
      <c r="BU534" t="s">
        <v>485</v>
      </c>
      <c r="BV534" t="s">
        <v>86</v>
      </c>
      <c r="BY534">
        <v>1200</v>
      </c>
      <c r="CA534" t="s">
        <v>326</v>
      </c>
      <c r="CC534" t="s">
        <v>322</v>
      </c>
      <c r="CD534">
        <v>7646</v>
      </c>
      <c r="CE534" t="s">
        <v>147</v>
      </c>
      <c r="CF534" s="3">
        <v>45938</v>
      </c>
      <c r="CI534">
        <v>1</v>
      </c>
      <c r="CJ534">
        <v>1</v>
      </c>
      <c r="CK534">
        <v>23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"080068341939"</f>
        <v>080068341939</v>
      </c>
      <c r="F535" s="3">
        <v>45936</v>
      </c>
      <c r="G535">
        <v>202607</v>
      </c>
      <c r="H535" t="s">
        <v>79</v>
      </c>
      <c r="I535" t="s">
        <v>80</v>
      </c>
      <c r="J535" t="s">
        <v>91</v>
      </c>
      <c r="K535" t="s">
        <v>78</v>
      </c>
      <c r="L535" t="s">
        <v>206</v>
      </c>
      <c r="M535" t="s">
        <v>207</v>
      </c>
      <c r="N535" t="s">
        <v>458</v>
      </c>
      <c r="O535" t="s">
        <v>82</v>
      </c>
      <c r="P535" t="str">
        <f>"4170062862                    "</f>
        <v xml:space="preserve">4170062862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22.36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70.959999999999994</v>
      </c>
      <c r="BM535">
        <v>10.64</v>
      </c>
      <c r="BN535">
        <v>81.599999999999994</v>
      </c>
      <c r="BO535">
        <v>81.599999999999994</v>
      </c>
      <c r="BQ535" t="s">
        <v>459</v>
      </c>
      <c r="BR535" t="s">
        <v>97</v>
      </c>
      <c r="BS535" s="3">
        <v>45937</v>
      </c>
      <c r="BT535" s="4">
        <v>0.50694444444444442</v>
      </c>
      <c r="BU535" t="s">
        <v>1194</v>
      </c>
      <c r="BV535" t="s">
        <v>90</v>
      </c>
      <c r="BW535" t="s">
        <v>347</v>
      </c>
      <c r="BX535" t="s">
        <v>1038</v>
      </c>
      <c r="BY535">
        <v>1200</v>
      </c>
      <c r="CC535" t="s">
        <v>207</v>
      </c>
      <c r="CD535">
        <v>7535</v>
      </c>
      <c r="CE535" t="s">
        <v>147</v>
      </c>
      <c r="CF535" s="3">
        <v>45938</v>
      </c>
      <c r="CI535">
        <v>1</v>
      </c>
      <c r="CJ535">
        <v>1</v>
      </c>
      <c r="CK535">
        <v>21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"080068341964"</f>
        <v>080068341964</v>
      </c>
      <c r="F536" s="3">
        <v>45936</v>
      </c>
      <c r="G536">
        <v>202607</v>
      </c>
      <c r="H536" t="s">
        <v>79</v>
      </c>
      <c r="I536" t="s">
        <v>80</v>
      </c>
      <c r="J536" t="s">
        <v>91</v>
      </c>
      <c r="K536" t="s">
        <v>78</v>
      </c>
      <c r="L536" t="s">
        <v>322</v>
      </c>
      <c r="M536" t="s">
        <v>322</v>
      </c>
      <c r="N536" t="s">
        <v>1231</v>
      </c>
      <c r="O536" t="s">
        <v>82</v>
      </c>
      <c r="P536" t="str">
        <f>"4170062872                    "</f>
        <v xml:space="preserve">4170062872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43.31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137.47</v>
      </c>
      <c r="BM536">
        <v>20.62</v>
      </c>
      <c r="BN536">
        <v>158.09</v>
      </c>
      <c r="BO536">
        <v>158.09</v>
      </c>
      <c r="BQ536" t="s">
        <v>1232</v>
      </c>
      <c r="BR536" t="s">
        <v>97</v>
      </c>
      <c r="BS536" s="3">
        <v>45937</v>
      </c>
      <c r="BT536" s="4">
        <v>0.52361111111111114</v>
      </c>
      <c r="BU536" t="s">
        <v>1233</v>
      </c>
      <c r="BV536" t="s">
        <v>86</v>
      </c>
      <c r="BY536">
        <v>1200</v>
      </c>
      <c r="CA536" t="s">
        <v>326</v>
      </c>
      <c r="CC536" t="s">
        <v>322</v>
      </c>
      <c r="CD536">
        <v>7646</v>
      </c>
      <c r="CE536" t="s">
        <v>147</v>
      </c>
      <c r="CF536" s="3">
        <v>45938</v>
      </c>
      <c r="CI536">
        <v>1</v>
      </c>
      <c r="CJ536">
        <v>1</v>
      </c>
      <c r="CK536">
        <v>23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"080068341986"</f>
        <v>080068341986</v>
      </c>
      <c r="F537" s="3">
        <v>45936</v>
      </c>
      <c r="G537">
        <v>202607</v>
      </c>
      <c r="H537" t="s">
        <v>79</v>
      </c>
      <c r="I537" t="s">
        <v>80</v>
      </c>
      <c r="J537" t="s">
        <v>91</v>
      </c>
      <c r="K537" t="s">
        <v>78</v>
      </c>
      <c r="L537" t="s">
        <v>168</v>
      </c>
      <c r="M537" t="s">
        <v>169</v>
      </c>
      <c r="N537" t="s">
        <v>873</v>
      </c>
      <c r="O537" t="s">
        <v>82</v>
      </c>
      <c r="P537" t="str">
        <f>"4170063006                    "</f>
        <v xml:space="preserve">4170063006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22.36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1.9</v>
      </c>
      <c r="BK537">
        <v>2</v>
      </c>
      <c r="BL537">
        <v>70.959999999999994</v>
      </c>
      <c r="BM537">
        <v>10.64</v>
      </c>
      <c r="BN537">
        <v>81.599999999999994</v>
      </c>
      <c r="BO537">
        <v>81.599999999999994</v>
      </c>
      <c r="BQ537" t="s">
        <v>874</v>
      </c>
      <c r="BR537" t="s">
        <v>97</v>
      </c>
      <c r="BS537" s="3">
        <v>45938</v>
      </c>
      <c r="BT537" s="4">
        <v>0.61458333333333337</v>
      </c>
      <c r="BU537" t="s">
        <v>1234</v>
      </c>
      <c r="BV537" t="s">
        <v>90</v>
      </c>
      <c r="BW537" t="s">
        <v>188</v>
      </c>
      <c r="BX537" t="s">
        <v>189</v>
      </c>
      <c r="BY537">
        <v>9600</v>
      </c>
      <c r="CA537" t="s">
        <v>1060</v>
      </c>
      <c r="CC537" t="s">
        <v>169</v>
      </c>
      <c r="CD537" s="5" t="s">
        <v>877</v>
      </c>
      <c r="CE537" t="s">
        <v>191</v>
      </c>
      <c r="CF537" s="3">
        <v>45938</v>
      </c>
      <c r="CI537">
        <v>1</v>
      </c>
      <c r="CJ537">
        <v>2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"080068342012"</f>
        <v>080068342012</v>
      </c>
      <c r="F538" s="3">
        <v>45936</v>
      </c>
      <c r="G538">
        <v>202607</v>
      </c>
      <c r="H538" t="s">
        <v>79</v>
      </c>
      <c r="I538" t="s">
        <v>80</v>
      </c>
      <c r="J538" t="s">
        <v>91</v>
      </c>
      <c r="K538" t="s">
        <v>78</v>
      </c>
      <c r="L538" t="s">
        <v>206</v>
      </c>
      <c r="M538" t="s">
        <v>207</v>
      </c>
      <c r="N538" t="s">
        <v>656</v>
      </c>
      <c r="O538" t="s">
        <v>82</v>
      </c>
      <c r="P538" t="str">
        <f>"4170063033                    "</f>
        <v xml:space="preserve">4170063033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44.69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4</v>
      </c>
      <c r="BJ538">
        <v>1.5</v>
      </c>
      <c r="BK538">
        <v>4</v>
      </c>
      <c r="BL538">
        <v>141.85</v>
      </c>
      <c r="BM538">
        <v>21.28</v>
      </c>
      <c r="BN538">
        <v>163.13</v>
      </c>
      <c r="BO538">
        <v>163.13</v>
      </c>
      <c r="BQ538" t="s">
        <v>657</v>
      </c>
      <c r="BR538" t="s">
        <v>97</v>
      </c>
      <c r="BS538" s="3">
        <v>45937</v>
      </c>
      <c r="BT538" s="4">
        <v>0.4236111111111111</v>
      </c>
      <c r="BU538" t="s">
        <v>658</v>
      </c>
      <c r="BV538" t="s">
        <v>86</v>
      </c>
      <c r="BY538">
        <v>7560</v>
      </c>
      <c r="CA538" t="s">
        <v>211</v>
      </c>
      <c r="CC538" t="s">
        <v>207</v>
      </c>
      <c r="CD538">
        <v>7441</v>
      </c>
      <c r="CE538" t="s">
        <v>107</v>
      </c>
      <c r="CF538" s="3">
        <v>45938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"080068342045"</f>
        <v>080068342045</v>
      </c>
      <c r="F539" s="3">
        <v>45936</v>
      </c>
      <c r="G539">
        <v>202607</v>
      </c>
      <c r="H539" t="s">
        <v>79</v>
      </c>
      <c r="I539" t="s">
        <v>80</v>
      </c>
      <c r="J539" t="s">
        <v>91</v>
      </c>
      <c r="K539" t="s">
        <v>78</v>
      </c>
      <c r="L539" t="s">
        <v>114</v>
      </c>
      <c r="M539" t="s">
        <v>115</v>
      </c>
      <c r="N539" t="s">
        <v>1235</v>
      </c>
      <c r="O539" t="s">
        <v>82</v>
      </c>
      <c r="P539" t="str">
        <f>"4170063034                    "</f>
        <v xml:space="preserve">4170063034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22.36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1.1000000000000001</v>
      </c>
      <c r="BK539">
        <v>1.5</v>
      </c>
      <c r="BL539">
        <v>70.959999999999994</v>
      </c>
      <c r="BM539">
        <v>10.64</v>
      </c>
      <c r="BN539">
        <v>81.599999999999994</v>
      </c>
      <c r="BO539">
        <v>81.599999999999994</v>
      </c>
      <c r="BQ539" t="s">
        <v>1236</v>
      </c>
      <c r="BR539" t="s">
        <v>97</v>
      </c>
      <c r="BS539" s="3">
        <v>45937</v>
      </c>
      <c r="BT539" s="4">
        <v>0.58333333333333337</v>
      </c>
      <c r="BU539" t="s">
        <v>1237</v>
      </c>
      <c r="BV539" t="s">
        <v>90</v>
      </c>
      <c r="BY539">
        <v>5510</v>
      </c>
      <c r="CA539" t="s">
        <v>146</v>
      </c>
      <c r="CC539" t="s">
        <v>115</v>
      </c>
      <c r="CD539">
        <v>5201</v>
      </c>
      <c r="CE539" t="s">
        <v>191</v>
      </c>
      <c r="CF539" s="3">
        <v>45937</v>
      </c>
      <c r="CI539">
        <v>1</v>
      </c>
      <c r="CJ539">
        <v>1</v>
      </c>
      <c r="CK539">
        <v>21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"080068342080"</f>
        <v>080068342080</v>
      </c>
      <c r="F540" s="3">
        <v>45936</v>
      </c>
      <c r="G540">
        <v>202607</v>
      </c>
      <c r="H540" t="s">
        <v>79</v>
      </c>
      <c r="I540" t="s">
        <v>80</v>
      </c>
      <c r="J540" t="s">
        <v>91</v>
      </c>
      <c r="K540" t="s">
        <v>78</v>
      </c>
      <c r="L540" t="s">
        <v>853</v>
      </c>
      <c r="M540" t="s">
        <v>854</v>
      </c>
      <c r="N540" t="s">
        <v>855</v>
      </c>
      <c r="O540" t="s">
        <v>82</v>
      </c>
      <c r="P540" t="str">
        <f>"4170062894                    "</f>
        <v xml:space="preserve">4170062894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39.11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3.4</v>
      </c>
      <c r="BK540">
        <v>3.5</v>
      </c>
      <c r="BL540">
        <v>124.13</v>
      </c>
      <c r="BM540">
        <v>18.62</v>
      </c>
      <c r="BN540">
        <v>142.75</v>
      </c>
      <c r="BO540">
        <v>142.75</v>
      </c>
      <c r="BQ540" t="s">
        <v>856</v>
      </c>
      <c r="BR540" t="s">
        <v>97</v>
      </c>
      <c r="BS540" s="3">
        <v>45937</v>
      </c>
      <c r="BT540" s="4">
        <v>0.42569444444444443</v>
      </c>
      <c r="BU540" t="s">
        <v>1238</v>
      </c>
      <c r="BV540" t="s">
        <v>86</v>
      </c>
      <c r="BY540">
        <v>16965</v>
      </c>
      <c r="CA540" t="s">
        <v>859</v>
      </c>
      <c r="CC540" t="s">
        <v>854</v>
      </c>
      <c r="CD540">
        <v>4120</v>
      </c>
      <c r="CE540" t="s">
        <v>191</v>
      </c>
      <c r="CF540" s="3">
        <v>45937</v>
      </c>
      <c r="CI540">
        <v>1</v>
      </c>
      <c r="CJ540">
        <v>1</v>
      </c>
      <c r="CK540">
        <v>21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"080068342113"</f>
        <v>080068342113</v>
      </c>
      <c r="F541" s="3">
        <v>45936</v>
      </c>
      <c r="G541">
        <v>202607</v>
      </c>
      <c r="H541" t="s">
        <v>79</v>
      </c>
      <c r="I541" t="s">
        <v>80</v>
      </c>
      <c r="J541" t="s">
        <v>91</v>
      </c>
      <c r="K541" t="s">
        <v>78</v>
      </c>
      <c r="L541" t="s">
        <v>108</v>
      </c>
      <c r="M541" t="s">
        <v>109</v>
      </c>
      <c r="N541" t="s">
        <v>1239</v>
      </c>
      <c r="O541" t="s">
        <v>82</v>
      </c>
      <c r="P541" t="str">
        <f>"4170062879                    "</f>
        <v xml:space="preserve">4170062879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100.54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3</v>
      </c>
      <c r="BJ541">
        <v>8.9</v>
      </c>
      <c r="BK541">
        <v>9</v>
      </c>
      <c r="BL541">
        <v>319.10000000000002</v>
      </c>
      <c r="BM541">
        <v>47.87</v>
      </c>
      <c r="BN541">
        <v>366.97</v>
      </c>
      <c r="BO541">
        <v>366.97</v>
      </c>
      <c r="BQ541" t="s">
        <v>1240</v>
      </c>
      <c r="BR541" t="s">
        <v>97</v>
      </c>
      <c r="BS541" s="3">
        <v>45937</v>
      </c>
      <c r="BT541" s="4">
        <v>0.39097222222222222</v>
      </c>
      <c r="BU541" t="s">
        <v>1241</v>
      </c>
      <c r="BV541" t="s">
        <v>86</v>
      </c>
      <c r="BY541">
        <v>44640</v>
      </c>
      <c r="CA541" t="s">
        <v>1137</v>
      </c>
      <c r="CC541" t="s">
        <v>109</v>
      </c>
      <c r="CD541">
        <v>6001</v>
      </c>
      <c r="CE541" t="s">
        <v>191</v>
      </c>
      <c r="CF541" s="3">
        <v>45937</v>
      </c>
      <c r="CI541">
        <v>1</v>
      </c>
      <c r="CJ541">
        <v>1</v>
      </c>
      <c r="CK541">
        <v>21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"080068342170"</f>
        <v>080068342170</v>
      </c>
      <c r="F542" s="3">
        <v>45936</v>
      </c>
      <c r="G542">
        <v>202607</v>
      </c>
      <c r="H542" t="s">
        <v>79</v>
      </c>
      <c r="I542" t="s">
        <v>80</v>
      </c>
      <c r="J542" t="s">
        <v>91</v>
      </c>
      <c r="K542" t="s">
        <v>78</v>
      </c>
      <c r="L542" t="s">
        <v>530</v>
      </c>
      <c r="M542" t="s">
        <v>531</v>
      </c>
      <c r="N542" t="s">
        <v>1242</v>
      </c>
      <c r="O542" t="s">
        <v>82</v>
      </c>
      <c r="P542" t="str">
        <f>"4170062942                    "</f>
        <v xml:space="preserve">4170062942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131.33000000000001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4</v>
      </c>
      <c r="BJ542">
        <v>6.5</v>
      </c>
      <c r="BK542">
        <v>6.5</v>
      </c>
      <c r="BL542">
        <v>416.83</v>
      </c>
      <c r="BM542">
        <v>62.52</v>
      </c>
      <c r="BN542">
        <v>479.35</v>
      </c>
      <c r="BO542">
        <v>479.35</v>
      </c>
      <c r="BQ542" t="s">
        <v>1243</v>
      </c>
      <c r="BR542" t="s">
        <v>97</v>
      </c>
      <c r="BS542" s="3">
        <v>45937</v>
      </c>
      <c r="BT542" s="4">
        <v>0.58958333333333335</v>
      </c>
      <c r="BU542" t="s">
        <v>1244</v>
      </c>
      <c r="BV542" t="s">
        <v>86</v>
      </c>
      <c r="BY542">
        <v>32500</v>
      </c>
      <c r="CA542" t="s">
        <v>1245</v>
      </c>
      <c r="CC542" t="s">
        <v>531</v>
      </c>
      <c r="CD542">
        <v>6850</v>
      </c>
      <c r="CE542" t="s">
        <v>107</v>
      </c>
      <c r="CF542" s="3">
        <v>45938</v>
      </c>
      <c r="CI542">
        <v>2</v>
      </c>
      <c r="CJ542">
        <v>1</v>
      </c>
      <c r="CK542">
        <v>23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"080068342596"</f>
        <v>080068342596</v>
      </c>
      <c r="F543" s="3">
        <v>45936</v>
      </c>
      <c r="G543">
        <v>202607</v>
      </c>
      <c r="H543" t="s">
        <v>79</v>
      </c>
      <c r="I543" t="s">
        <v>80</v>
      </c>
      <c r="J543" t="s">
        <v>91</v>
      </c>
      <c r="K543" t="s">
        <v>78</v>
      </c>
      <c r="L543" t="s">
        <v>1246</v>
      </c>
      <c r="M543" t="s">
        <v>1247</v>
      </c>
      <c r="N543" t="s">
        <v>1248</v>
      </c>
      <c r="O543" t="s">
        <v>226</v>
      </c>
      <c r="P543" t="str">
        <f>"4170063045                    "</f>
        <v xml:space="preserve">4170063045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125.79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3</v>
      </c>
      <c r="BJ543">
        <v>6.7</v>
      </c>
      <c r="BK543">
        <v>7</v>
      </c>
      <c r="BL543">
        <v>399.24</v>
      </c>
      <c r="BM543">
        <v>59.89</v>
      </c>
      <c r="BN543">
        <v>459.13</v>
      </c>
      <c r="BO543">
        <v>459.13</v>
      </c>
      <c r="BQ543" t="s">
        <v>1249</v>
      </c>
      <c r="BR543" t="s">
        <v>97</v>
      </c>
      <c r="BS543" s="3">
        <v>45937</v>
      </c>
      <c r="BT543" s="4">
        <v>0.30972222222222223</v>
      </c>
      <c r="BU543" t="s">
        <v>1250</v>
      </c>
      <c r="BV543" t="s">
        <v>86</v>
      </c>
      <c r="BY543">
        <v>33600</v>
      </c>
      <c r="CA543" t="s">
        <v>1251</v>
      </c>
      <c r="CC543" t="s">
        <v>1247</v>
      </c>
      <c r="CD543">
        <v>2210</v>
      </c>
      <c r="CE543" t="s">
        <v>107</v>
      </c>
      <c r="CF543" s="3">
        <v>45938</v>
      </c>
      <c r="CI543">
        <v>1</v>
      </c>
      <c r="CJ543">
        <v>1</v>
      </c>
      <c r="CK543">
        <v>34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"080068342606"</f>
        <v>080068342606</v>
      </c>
      <c r="F544" s="3">
        <v>45936</v>
      </c>
      <c r="G544">
        <v>202607</v>
      </c>
      <c r="H544" t="s">
        <v>79</v>
      </c>
      <c r="I544" t="s">
        <v>80</v>
      </c>
      <c r="J544" t="s">
        <v>91</v>
      </c>
      <c r="K544" t="s">
        <v>78</v>
      </c>
      <c r="L544" t="s">
        <v>206</v>
      </c>
      <c r="M544" t="s">
        <v>207</v>
      </c>
      <c r="N544" t="s">
        <v>656</v>
      </c>
      <c r="O544" t="s">
        <v>82</v>
      </c>
      <c r="P544" t="str">
        <f>"4170063001                    "</f>
        <v xml:space="preserve">4170063001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33.520000000000003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3</v>
      </c>
      <c r="BJ544">
        <v>1.9</v>
      </c>
      <c r="BK544">
        <v>3</v>
      </c>
      <c r="BL544">
        <v>106.4</v>
      </c>
      <c r="BM544">
        <v>15.96</v>
      </c>
      <c r="BN544">
        <v>122.36</v>
      </c>
      <c r="BO544">
        <v>122.36</v>
      </c>
      <c r="BQ544" t="s">
        <v>657</v>
      </c>
      <c r="BR544" t="s">
        <v>97</v>
      </c>
      <c r="BS544" s="3">
        <v>45937</v>
      </c>
      <c r="BT544" s="4">
        <v>0.4236111111111111</v>
      </c>
      <c r="BU544" t="s">
        <v>658</v>
      </c>
      <c r="BV544" t="s">
        <v>86</v>
      </c>
      <c r="BY544">
        <v>9576</v>
      </c>
      <c r="CA544" t="s">
        <v>211</v>
      </c>
      <c r="CC544" t="s">
        <v>207</v>
      </c>
      <c r="CD544">
        <v>7441</v>
      </c>
      <c r="CE544" t="s">
        <v>191</v>
      </c>
      <c r="CF544" s="3">
        <v>45938</v>
      </c>
      <c r="CI544">
        <v>1</v>
      </c>
      <c r="CJ544">
        <v>1</v>
      </c>
      <c r="CK544">
        <v>21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"080068342630"</f>
        <v>080068342630</v>
      </c>
      <c r="F545" s="3">
        <v>45936</v>
      </c>
      <c r="G545">
        <v>202607</v>
      </c>
      <c r="H545" t="s">
        <v>79</v>
      </c>
      <c r="I545" t="s">
        <v>80</v>
      </c>
      <c r="J545" t="s">
        <v>91</v>
      </c>
      <c r="K545" t="s">
        <v>78</v>
      </c>
      <c r="L545" t="s">
        <v>206</v>
      </c>
      <c r="M545" t="s">
        <v>207</v>
      </c>
      <c r="N545" t="s">
        <v>656</v>
      </c>
      <c r="O545" t="s">
        <v>82</v>
      </c>
      <c r="P545" t="str">
        <f>"4170062998                    "</f>
        <v xml:space="preserve">4170062998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22.36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0.9</v>
      </c>
      <c r="BK545">
        <v>1</v>
      </c>
      <c r="BL545">
        <v>70.959999999999994</v>
      </c>
      <c r="BM545">
        <v>10.64</v>
      </c>
      <c r="BN545">
        <v>81.599999999999994</v>
      </c>
      <c r="BO545">
        <v>81.599999999999994</v>
      </c>
      <c r="BQ545" t="s">
        <v>657</v>
      </c>
      <c r="BR545" t="s">
        <v>97</v>
      </c>
      <c r="BS545" s="3">
        <v>45937</v>
      </c>
      <c r="BT545" s="4">
        <v>0.4236111111111111</v>
      </c>
      <c r="BU545" t="s">
        <v>658</v>
      </c>
      <c r="BV545" t="s">
        <v>86</v>
      </c>
      <c r="BY545">
        <v>4680</v>
      </c>
      <c r="CA545" t="s">
        <v>211</v>
      </c>
      <c r="CC545" t="s">
        <v>207</v>
      </c>
      <c r="CD545">
        <v>7441</v>
      </c>
      <c r="CE545" t="s">
        <v>191</v>
      </c>
      <c r="CF545" s="3">
        <v>45938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"080068342631"</f>
        <v>080068342631</v>
      </c>
      <c r="F546" s="3">
        <v>45936</v>
      </c>
      <c r="G546">
        <v>202607</v>
      </c>
      <c r="H546" t="s">
        <v>79</v>
      </c>
      <c r="I546" t="s">
        <v>80</v>
      </c>
      <c r="J546" t="s">
        <v>91</v>
      </c>
      <c r="K546" t="s">
        <v>78</v>
      </c>
      <c r="L546" t="s">
        <v>763</v>
      </c>
      <c r="M546" t="s">
        <v>764</v>
      </c>
      <c r="N546" t="s">
        <v>765</v>
      </c>
      <c r="O546" t="s">
        <v>82</v>
      </c>
      <c r="P546" t="str">
        <f>"4170063052                    "</f>
        <v xml:space="preserve">4170063052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43.31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137.47</v>
      </c>
      <c r="BM546">
        <v>20.62</v>
      </c>
      <c r="BN546">
        <v>158.09</v>
      </c>
      <c r="BO546">
        <v>158.09</v>
      </c>
      <c r="BQ546" t="s">
        <v>766</v>
      </c>
      <c r="BR546" t="s">
        <v>97</v>
      </c>
      <c r="BS546" s="3">
        <v>45937</v>
      </c>
      <c r="BT546" s="4">
        <v>0.42708333333333331</v>
      </c>
      <c r="BU546" t="s">
        <v>1175</v>
      </c>
      <c r="BV546" t="s">
        <v>86</v>
      </c>
      <c r="BY546">
        <v>1200</v>
      </c>
      <c r="CA546" t="s">
        <v>768</v>
      </c>
      <c r="CC546" t="s">
        <v>764</v>
      </c>
      <c r="CD546">
        <v>2531</v>
      </c>
      <c r="CE546" t="s">
        <v>147</v>
      </c>
      <c r="CF546" s="3">
        <v>45938</v>
      </c>
      <c r="CI546">
        <v>1</v>
      </c>
      <c r="CJ546">
        <v>1</v>
      </c>
      <c r="CK546">
        <v>23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"080068342652"</f>
        <v>080068342652</v>
      </c>
      <c r="F547" s="3">
        <v>45936</v>
      </c>
      <c r="G547">
        <v>202607</v>
      </c>
      <c r="H547" t="s">
        <v>79</v>
      </c>
      <c r="I547" t="s">
        <v>80</v>
      </c>
      <c r="J547" t="s">
        <v>91</v>
      </c>
      <c r="K547" t="s">
        <v>78</v>
      </c>
      <c r="L547" t="s">
        <v>92</v>
      </c>
      <c r="M547" t="s">
        <v>93</v>
      </c>
      <c r="N547" t="s">
        <v>597</v>
      </c>
      <c r="O547" t="s">
        <v>82</v>
      </c>
      <c r="P547" t="str">
        <f>"4170062847                    "</f>
        <v xml:space="preserve">4170062847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100.54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9</v>
      </c>
      <c r="BJ547">
        <v>1.9</v>
      </c>
      <c r="BK547">
        <v>9</v>
      </c>
      <c r="BL547">
        <v>319.10000000000002</v>
      </c>
      <c r="BM547">
        <v>47.87</v>
      </c>
      <c r="BN547">
        <v>366.97</v>
      </c>
      <c r="BO547">
        <v>366.97</v>
      </c>
      <c r="BQ547" t="s">
        <v>598</v>
      </c>
      <c r="BR547" t="s">
        <v>97</v>
      </c>
      <c r="BS547" s="3">
        <v>45937</v>
      </c>
      <c r="BT547" s="4">
        <v>0.50347222222222221</v>
      </c>
      <c r="BU547" t="s">
        <v>1252</v>
      </c>
      <c r="BV547" t="s">
        <v>86</v>
      </c>
      <c r="BY547">
        <v>9576</v>
      </c>
      <c r="CA547" t="s">
        <v>1139</v>
      </c>
      <c r="CC547" t="s">
        <v>93</v>
      </c>
      <c r="CD547">
        <v>3201</v>
      </c>
      <c r="CE547" t="s">
        <v>191</v>
      </c>
      <c r="CF547" s="3">
        <v>45938</v>
      </c>
      <c r="CI547">
        <v>1</v>
      </c>
      <c r="CJ547">
        <v>1</v>
      </c>
      <c r="CK547">
        <v>21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"080068342663"</f>
        <v>080068342663</v>
      </c>
      <c r="F548" s="3">
        <v>45936</v>
      </c>
      <c r="G548">
        <v>202607</v>
      </c>
      <c r="H548" t="s">
        <v>79</v>
      </c>
      <c r="I548" t="s">
        <v>80</v>
      </c>
      <c r="J548" t="s">
        <v>91</v>
      </c>
      <c r="K548" t="s">
        <v>78</v>
      </c>
      <c r="L548" t="s">
        <v>453</v>
      </c>
      <c r="M548" t="s">
        <v>454</v>
      </c>
      <c r="N548" t="s">
        <v>665</v>
      </c>
      <c r="O548" t="s">
        <v>82</v>
      </c>
      <c r="P548" t="str">
        <f>"4170063084                    "</f>
        <v xml:space="preserve">4170063084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22.36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70.959999999999994</v>
      </c>
      <c r="BM548">
        <v>10.64</v>
      </c>
      <c r="BN548">
        <v>81.599999999999994</v>
      </c>
      <c r="BO548">
        <v>81.599999999999994</v>
      </c>
      <c r="BQ548" t="s">
        <v>666</v>
      </c>
      <c r="BR548" t="s">
        <v>97</v>
      </c>
      <c r="BS548" s="3">
        <v>45937</v>
      </c>
      <c r="BT548" s="4">
        <v>0.59027777777777779</v>
      </c>
      <c r="BU548" t="s">
        <v>1253</v>
      </c>
      <c r="BV548" t="s">
        <v>90</v>
      </c>
      <c r="BW548" t="s">
        <v>136</v>
      </c>
      <c r="BX548" t="s">
        <v>858</v>
      </c>
      <c r="BY548">
        <v>1200</v>
      </c>
      <c r="CA548" t="s">
        <v>742</v>
      </c>
      <c r="CC548" t="s">
        <v>454</v>
      </c>
      <c r="CD548">
        <v>3610</v>
      </c>
      <c r="CE548" t="s">
        <v>147</v>
      </c>
      <c r="CF548" s="3">
        <v>45938</v>
      </c>
      <c r="CI548">
        <v>1</v>
      </c>
      <c r="CJ548">
        <v>1</v>
      </c>
      <c r="CK548">
        <v>21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"080068342673"</f>
        <v>080068342673</v>
      </c>
      <c r="F549" s="3">
        <v>45936</v>
      </c>
      <c r="G549">
        <v>202607</v>
      </c>
      <c r="H549" t="s">
        <v>79</v>
      </c>
      <c r="I549" t="s">
        <v>80</v>
      </c>
      <c r="J549" t="s">
        <v>91</v>
      </c>
      <c r="K549" t="s">
        <v>78</v>
      </c>
      <c r="L549" t="s">
        <v>206</v>
      </c>
      <c r="M549" t="s">
        <v>207</v>
      </c>
      <c r="N549" t="s">
        <v>656</v>
      </c>
      <c r="O549" t="s">
        <v>82</v>
      </c>
      <c r="P549" t="str">
        <f>"4170063109                    "</f>
        <v xml:space="preserve">4170063109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33.520000000000003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3</v>
      </c>
      <c r="BJ549">
        <v>0.9</v>
      </c>
      <c r="BK549">
        <v>3</v>
      </c>
      <c r="BL549">
        <v>106.4</v>
      </c>
      <c r="BM549">
        <v>15.96</v>
      </c>
      <c r="BN549">
        <v>122.36</v>
      </c>
      <c r="BO549">
        <v>122.36</v>
      </c>
      <c r="BQ549" t="s">
        <v>657</v>
      </c>
      <c r="BR549" t="s">
        <v>97</v>
      </c>
      <c r="BS549" s="3">
        <v>45937</v>
      </c>
      <c r="BT549" s="4">
        <v>0.4236111111111111</v>
      </c>
      <c r="BU549" t="s">
        <v>658</v>
      </c>
      <c r="BV549" t="s">
        <v>86</v>
      </c>
      <c r="BY549">
        <v>4275</v>
      </c>
      <c r="CA549" t="s">
        <v>211</v>
      </c>
      <c r="CC549" t="s">
        <v>207</v>
      </c>
      <c r="CD549">
        <v>7441</v>
      </c>
      <c r="CE549" t="s">
        <v>191</v>
      </c>
      <c r="CF549" s="3">
        <v>45938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"080068342692"</f>
        <v>080068342692</v>
      </c>
      <c r="F550" s="3">
        <v>45936</v>
      </c>
      <c r="G550">
        <v>202607</v>
      </c>
      <c r="H550" t="s">
        <v>79</v>
      </c>
      <c r="I550" t="s">
        <v>80</v>
      </c>
      <c r="J550" t="s">
        <v>91</v>
      </c>
      <c r="K550" t="s">
        <v>78</v>
      </c>
      <c r="L550" t="s">
        <v>168</v>
      </c>
      <c r="M550" t="s">
        <v>169</v>
      </c>
      <c r="N550" t="s">
        <v>170</v>
      </c>
      <c r="O550" t="s">
        <v>82</v>
      </c>
      <c r="P550" t="str">
        <f>"4170063015                    "</f>
        <v xml:space="preserve">4170063015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22.36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70.959999999999994</v>
      </c>
      <c r="BM550">
        <v>10.64</v>
      </c>
      <c r="BN550">
        <v>81.599999999999994</v>
      </c>
      <c r="BO550">
        <v>81.599999999999994</v>
      </c>
      <c r="BQ550" t="s">
        <v>171</v>
      </c>
      <c r="BR550" t="s">
        <v>97</v>
      </c>
      <c r="BS550" s="3">
        <v>45937</v>
      </c>
      <c r="BT550" s="4">
        <v>0.38194444444444442</v>
      </c>
      <c r="BU550" t="s">
        <v>332</v>
      </c>
      <c r="BV550" t="s">
        <v>86</v>
      </c>
      <c r="BY550">
        <v>1200</v>
      </c>
      <c r="CC550" t="s">
        <v>169</v>
      </c>
      <c r="CD550" s="5" t="s">
        <v>173</v>
      </c>
      <c r="CE550" t="s">
        <v>147</v>
      </c>
      <c r="CF550" s="3">
        <v>45937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"080068342696"</f>
        <v>080068342696</v>
      </c>
      <c r="F551" s="3">
        <v>45936</v>
      </c>
      <c r="G551">
        <v>202607</v>
      </c>
      <c r="H551" t="s">
        <v>79</v>
      </c>
      <c r="I551" t="s">
        <v>80</v>
      </c>
      <c r="J551" t="s">
        <v>91</v>
      </c>
      <c r="K551" t="s">
        <v>78</v>
      </c>
      <c r="L551" t="s">
        <v>108</v>
      </c>
      <c r="M551" t="s">
        <v>109</v>
      </c>
      <c r="N551" t="s">
        <v>379</v>
      </c>
      <c r="O551" t="s">
        <v>82</v>
      </c>
      <c r="P551" t="str">
        <f>"4170062899                    "</f>
        <v xml:space="preserve">4170062899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44.69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4</v>
      </c>
      <c r="BJ551">
        <v>1.9</v>
      </c>
      <c r="BK551">
        <v>4</v>
      </c>
      <c r="BL551">
        <v>141.85</v>
      </c>
      <c r="BM551">
        <v>21.28</v>
      </c>
      <c r="BN551">
        <v>163.13</v>
      </c>
      <c r="BO551">
        <v>163.13</v>
      </c>
      <c r="BQ551" t="s">
        <v>380</v>
      </c>
      <c r="BR551" t="s">
        <v>97</v>
      </c>
      <c r="BS551" s="3">
        <v>45937</v>
      </c>
      <c r="BT551" s="4">
        <v>0.43680555555555556</v>
      </c>
      <c r="BU551" t="s">
        <v>1254</v>
      </c>
      <c r="BV551" t="s">
        <v>86</v>
      </c>
      <c r="BY551">
        <v>9576</v>
      </c>
      <c r="CA551" t="s">
        <v>1137</v>
      </c>
      <c r="CC551" t="s">
        <v>109</v>
      </c>
      <c r="CD551">
        <v>6001</v>
      </c>
      <c r="CE551" t="s">
        <v>191</v>
      </c>
      <c r="CF551" s="3">
        <v>45937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"080068342717"</f>
        <v>080068342717</v>
      </c>
      <c r="F552" s="3">
        <v>45936</v>
      </c>
      <c r="G552">
        <v>202607</v>
      </c>
      <c r="H552" t="s">
        <v>79</v>
      </c>
      <c r="I552" t="s">
        <v>80</v>
      </c>
      <c r="J552" t="s">
        <v>91</v>
      </c>
      <c r="K552" t="s">
        <v>78</v>
      </c>
      <c r="L552" t="s">
        <v>121</v>
      </c>
      <c r="M552" t="s">
        <v>122</v>
      </c>
      <c r="N552" t="s">
        <v>123</v>
      </c>
      <c r="O552" t="s">
        <v>82</v>
      </c>
      <c r="P552" t="str">
        <f>"4170063025                    "</f>
        <v xml:space="preserve">4170063025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22.36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0.9</v>
      </c>
      <c r="BK552">
        <v>1</v>
      </c>
      <c r="BL552">
        <v>70.959999999999994</v>
      </c>
      <c r="BM552">
        <v>10.64</v>
      </c>
      <c r="BN552">
        <v>81.599999999999994</v>
      </c>
      <c r="BO552">
        <v>81.599999999999994</v>
      </c>
      <c r="BQ552" t="s">
        <v>124</v>
      </c>
      <c r="BR552" t="s">
        <v>97</v>
      </c>
      <c r="BS552" s="3">
        <v>45937</v>
      </c>
      <c r="BT552" s="4">
        <v>0.35416666666666669</v>
      </c>
      <c r="BU552" t="s">
        <v>201</v>
      </c>
      <c r="BV552" t="s">
        <v>86</v>
      </c>
      <c r="BY552">
        <v>4256</v>
      </c>
      <c r="CA552" t="s">
        <v>126</v>
      </c>
      <c r="CC552" t="s">
        <v>122</v>
      </c>
      <c r="CD552">
        <v>4000</v>
      </c>
      <c r="CE552" t="s">
        <v>191</v>
      </c>
      <c r="CF552" s="3">
        <v>45937</v>
      </c>
      <c r="CI552">
        <v>1</v>
      </c>
      <c r="CJ552">
        <v>1</v>
      </c>
      <c r="CK552">
        <v>21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"080068342719"</f>
        <v>080068342719</v>
      </c>
      <c r="F553" s="3">
        <v>45936</v>
      </c>
      <c r="G553">
        <v>202607</v>
      </c>
      <c r="H553" t="s">
        <v>79</v>
      </c>
      <c r="I553" t="s">
        <v>80</v>
      </c>
      <c r="J553" t="s">
        <v>91</v>
      </c>
      <c r="K553" t="s">
        <v>78</v>
      </c>
      <c r="L553" t="s">
        <v>168</v>
      </c>
      <c r="M553" t="s">
        <v>169</v>
      </c>
      <c r="N553" t="s">
        <v>170</v>
      </c>
      <c r="O553" t="s">
        <v>82</v>
      </c>
      <c r="P553" t="str">
        <f>"4170063053                    "</f>
        <v xml:space="preserve">4170063053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22.36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70.959999999999994</v>
      </c>
      <c r="BM553">
        <v>10.64</v>
      </c>
      <c r="BN553">
        <v>81.599999999999994</v>
      </c>
      <c r="BO553">
        <v>81.599999999999994</v>
      </c>
      <c r="BQ553" t="s">
        <v>171</v>
      </c>
      <c r="BR553" t="s">
        <v>97</v>
      </c>
      <c r="BS553" s="3">
        <v>45937</v>
      </c>
      <c r="BT553" s="4">
        <v>0.38194444444444442</v>
      </c>
      <c r="BU553" t="s">
        <v>332</v>
      </c>
      <c r="BV553" t="s">
        <v>86</v>
      </c>
      <c r="BY553">
        <v>1200</v>
      </c>
      <c r="CC553" t="s">
        <v>169</v>
      </c>
      <c r="CD553" s="5" t="s">
        <v>173</v>
      </c>
      <c r="CE553" t="s">
        <v>147</v>
      </c>
      <c r="CF553" s="3">
        <v>45937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"080068342738"</f>
        <v>080068342738</v>
      </c>
      <c r="F554" s="3">
        <v>45936</v>
      </c>
      <c r="G554">
        <v>202607</v>
      </c>
      <c r="H554" t="s">
        <v>79</v>
      </c>
      <c r="I554" t="s">
        <v>80</v>
      </c>
      <c r="J554" t="s">
        <v>91</v>
      </c>
      <c r="K554" t="s">
        <v>78</v>
      </c>
      <c r="L554" t="s">
        <v>1208</v>
      </c>
      <c r="M554" t="s">
        <v>1209</v>
      </c>
      <c r="N554" t="s">
        <v>1210</v>
      </c>
      <c r="O554" t="s">
        <v>82</v>
      </c>
      <c r="P554" t="str">
        <f>"4170063093                    "</f>
        <v xml:space="preserve">4170063093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43.31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0.9</v>
      </c>
      <c r="BK554">
        <v>2</v>
      </c>
      <c r="BL554">
        <v>137.47</v>
      </c>
      <c r="BM554">
        <v>20.62</v>
      </c>
      <c r="BN554">
        <v>158.09</v>
      </c>
      <c r="BO554">
        <v>158.09</v>
      </c>
      <c r="BQ554" t="s">
        <v>1211</v>
      </c>
      <c r="BR554" t="s">
        <v>97</v>
      </c>
      <c r="BS554" s="3">
        <v>45937</v>
      </c>
      <c r="BT554" s="4">
        <v>0.7</v>
      </c>
      <c r="BU554" t="s">
        <v>1212</v>
      </c>
      <c r="BV554" t="s">
        <v>86</v>
      </c>
      <c r="BY554">
        <v>4680</v>
      </c>
      <c r="CA554" t="s">
        <v>1213</v>
      </c>
      <c r="CC554" t="s">
        <v>1209</v>
      </c>
      <c r="CD554">
        <v>9880</v>
      </c>
      <c r="CE554" t="s">
        <v>191</v>
      </c>
      <c r="CF554" s="3">
        <v>45938</v>
      </c>
      <c r="CI554">
        <v>1</v>
      </c>
      <c r="CJ554">
        <v>1</v>
      </c>
      <c r="CK554">
        <v>23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"080068342743"</f>
        <v>080068342743</v>
      </c>
      <c r="F555" s="3">
        <v>45936</v>
      </c>
      <c r="G555">
        <v>202607</v>
      </c>
      <c r="H555" t="s">
        <v>79</v>
      </c>
      <c r="I555" t="s">
        <v>80</v>
      </c>
      <c r="J555" t="s">
        <v>91</v>
      </c>
      <c r="K555" t="s">
        <v>78</v>
      </c>
      <c r="L555" t="s">
        <v>1255</v>
      </c>
      <c r="M555" t="s">
        <v>1256</v>
      </c>
      <c r="N555" t="s">
        <v>1257</v>
      </c>
      <c r="O555" t="s">
        <v>82</v>
      </c>
      <c r="P555" t="str">
        <f>"4170063095                    "</f>
        <v xml:space="preserve">4170063095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43.31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137.47</v>
      </c>
      <c r="BM555">
        <v>20.62</v>
      </c>
      <c r="BN555">
        <v>158.09</v>
      </c>
      <c r="BO555">
        <v>158.09</v>
      </c>
      <c r="BQ555" t="s">
        <v>1258</v>
      </c>
      <c r="BR555" t="s">
        <v>97</v>
      </c>
      <c r="BS555" s="3">
        <v>45937</v>
      </c>
      <c r="BT555" s="4">
        <v>0.53055555555555556</v>
      </c>
      <c r="BU555" t="s">
        <v>1259</v>
      </c>
      <c r="BV555" t="s">
        <v>86</v>
      </c>
      <c r="BY555">
        <v>1200</v>
      </c>
      <c r="CA555" t="s">
        <v>1260</v>
      </c>
      <c r="CC555" t="s">
        <v>1256</v>
      </c>
      <c r="CD555">
        <v>2309</v>
      </c>
      <c r="CE555" t="s">
        <v>147</v>
      </c>
      <c r="CF555" s="3">
        <v>45938</v>
      </c>
      <c r="CI555">
        <v>1</v>
      </c>
      <c r="CJ555">
        <v>1</v>
      </c>
      <c r="CK555">
        <v>23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"080068342770"</f>
        <v>080068342770</v>
      </c>
      <c r="F556" s="3">
        <v>45936</v>
      </c>
      <c r="G556">
        <v>202607</v>
      </c>
      <c r="H556" t="s">
        <v>79</v>
      </c>
      <c r="I556" t="s">
        <v>80</v>
      </c>
      <c r="J556" t="s">
        <v>91</v>
      </c>
      <c r="K556" t="s">
        <v>78</v>
      </c>
      <c r="L556" t="s">
        <v>206</v>
      </c>
      <c r="M556" t="s">
        <v>207</v>
      </c>
      <c r="N556" t="s">
        <v>427</v>
      </c>
      <c r="O556" t="s">
        <v>82</v>
      </c>
      <c r="P556" t="str">
        <f>"4170062951                    "</f>
        <v xml:space="preserve">4170062951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150.80000000000001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4</v>
      </c>
      <c r="BJ556">
        <v>13.3</v>
      </c>
      <c r="BK556">
        <v>13.5</v>
      </c>
      <c r="BL556">
        <v>478.62</v>
      </c>
      <c r="BM556">
        <v>71.790000000000006</v>
      </c>
      <c r="BN556">
        <v>550.41</v>
      </c>
      <c r="BO556">
        <v>550.41</v>
      </c>
      <c r="BQ556" t="s">
        <v>428</v>
      </c>
      <c r="BR556" t="s">
        <v>97</v>
      </c>
      <c r="BS556" s="3">
        <v>45937</v>
      </c>
      <c r="BT556" s="4">
        <v>0.34652777777777777</v>
      </c>
      <c r="BU556" t="s">
        <v>1261</v>
      </c>
      <c r="BV556" t="s">
        <v>86</v>
      </c>
      <c r="BY556">
        <v>66300</v>
      </c>
      <c r="CA556" t="s">
        <v>423</v>
      </c>
      <c r="CC556" t="s">
        <v>207</v>
      </c>
      <c r="CD556">
        <v>7530</v>
      </c>
      <c r="CE556" t="s">
        <v>1262</v>
      </c>
      <c r="CF556" s="3">
        <v>45938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"080068342799"</f>
        <v>080068342799</v>
      </c>
      <c r="F557" s="3">
        <v>45936</v>
      </c>
      <c r="G557">
        <v>202607</v>
      </c>
      <c r="H557" t="s">
        <v>79</v>
      </c>
      <c r="I557" t="s">
        <v>80</v>
      </c>
      <c r="J557" t="s">
        <v>91</v>
      </c>
      <c r="K557" t="s">
        <v>78</v>
      </c>
      <c r="L557" t="s">
        <v>108</v>
      </c>
      <c r="M557" t="s">
        <v>109</v>
      </c>
      <c r="N557" t="s">
        <v>440</v>
      </c>
      <c r="O557" t="s">
        <v>82</v>
      </c>
      <c r="P557" t="str">
        <f>"4170062960                    "</f>
        <v xml:space="preserve">4170062960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78.2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7</v>
      </c>
      <c r="BJ557">
        <v>4.7</v>
      </c>
      <c r="BK557">
        <v>7</v>
      </c>
      <c r="BL557">
        <v>248.2</v>
      </c>
      <c r="BM557">
        <v>37.229999999999997</v>
      </c>
      <c r="BN557">
        <v>285.43</v>
      </c>
      <c r="BO557">
        <v>285.43</v>
      </c>
      <c r="BQ557" t="s">
        <v>441</v>
      </c>
      <c r="BR557" t="s">
        <v>97</v>
      </c>
      <c r="BS557" s="3">
        <v>45937</v>
      </c>
      <c r="BT557" s="4">
        <v>0.3888888888888889</v>
      </c>
      <c r="BU557" t="s">
        <v>1263</v>
      </c>
      <c r="BV557" t="s">
        <v>86</v>
      </c>
      <c r="BY557">
        <v>23460</v>
      </c>
      <c r="CA557" t="s">
        <v>1137</v>
      </c>
      <c r="CC557" t="s">
        <v>109</v>
      </c>
      <c r="CD557">
        <v>6001</v>
      </c>
      <c r="CE557" t="s">
        <v>107</v>
      </c>
      <c r="CF557" s="3">
        <v>45937</v>
      </c>
      <c r="CI557">
        <v>1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"080068342862"</f>
        <v>080068342862</v>
      </c>
      <c r="F558" s="3">
        <v>45936</v>
      </c>
      <c r="G558">
        <v>202607</v>
      </c>
      <c r="H558" t="s">
        <v>79</v>
      </c>
      <c r="I558" t="s">
        <v>80</v>
      </c>
      <c r="J558" t="s">
        <v>91</v>
      </c>
      <c r="K558" t="s">
        <v>78</v>
      </c>
      <c r="L558" t="s">
        <v>487</v>
      </c>
      <c r="M558" t="s">
        <v>488</v>
      </c>
      <c r="N558" t="s">
        <v>489</v>
      </c>
      <c r="O558" t="s">
        <v>82</v>
      </c>
      <c r="P558" t="str">
        <f>"4170062973                    "</f>
        <v xml:space="preserve">4170062973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43.31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137.47</v>
      </c>
      <c r="BM558">
        <v>20.62</v>
      </c>
      <c r="BN558">
        <v>158.09</v>
      </c>
      <c r="BO558">
        <v>158.09</v>
      </c>
      <c r="BQ558" t="s">
        <v>490</v>
      </c>
      <c r="BR558" t="s">
        <v>97</v>
      </c>
      <c r="BS558" s="3">
        <v>45937</v>
      </c>
      <c r="BT558" s="4">
        <v>0.62291666666666667</v>
      </c>
      <c r="BU558" t="s">
        <v>1264</v>
      </c>
      <c r="BV558" t="s">
        <v>86</v>
      </c>
      <c r="BY558">
        <v>1200</v>
      </c>
      <c r="CA558" t="s">
        <v>1265</v>
      </c>
      <c r="CC558" t="s">
        <v>488</v>
      </c>
      <c r="CD558">
        <v>6715</v>
      </c>
      <c r="CE558" t="s">
        <v>147</v>
      </c>
      <c r="CF558" s="3">
        <v>45938</v>
      </c>
      <c r="CI558">
        <v>2</v>
      </c>
      <c r="CJ558">
        <v>1</v>
      </c>
      <c r="CK558">
        <v>23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"080068342925"</f>
        <v>080068342925</v>
      </c>
      <c r="F559" s="3">
        <v>45936</v>
      </c>
      <c r="G559">
        <v>202607</v>
      </c>
      <c r="H559" t="s">
        <v>79</v>
      </c>
      <c r="I559" t="s">
        <v>80</v>
      </c>
      <c r="J559" t="s">
        <v>91</v>
      </c>
      <c r="K559" t="s">
        <v>78</v>
      </c>
      <c r="L559" t="s">
        <v>206</v>
      </c>
      <c r="M559" t="s">
        <v>207</v>
      </c>
      <c r="N559" t="s">
        <v>656</v>
      </c>
      <c r="O559" t="s">
        <v>82</v>
      </c>
      <c r="P559" t="str">
        <f>"4170063020                    "</f>
        <v xml:space="preserve">4170063020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22.36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70.959999999999994</v>
      </c>
      <c r="BM559">
        <v>10.64</v>
      </c>
      <c r="BN559">
        <v>81.599999999999994</v>
      </c>
      <c r="BO559">
        <v>81.599999999999994</v>
      </c>
      <c r="BQ559" t="s">
        <v>657</v>
      </c>
      <c r="BR559" t="s">
        <v>97</v>
      </c>
      <c r="BS559" s="3">
        <v>45937</v>
      </c>
      <c r="BT559" s="4">
        <v>0.4236111111111111</v>
      </c>
      <c r="BU559" t="s">
        <v>658</v>
      </c>
      <c r="BV559" t="s">
        <v>86</v>
      </c>
      <c r="BY559">
        <v>1200</v>
      </c>
      <c r="CA559" t="s">
        <v>211</v>
      </c>
      <c r="CC559" t="s">
        <v>207</v>
      </c>
      <c r="CD559">
        <v>7441</v>
      </c>
      <c r="CE559" t="s">
        <v>147</v>
      </c>
      <c r="CF559" s="3">
        <v>45940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"080068342962"</f>
        <v>080068342962</v>
      </c>
      <c r="F560" s="3">
        <v>45936</v>
      </c>
      <c r="G560">
        <v>202607</v>
      </c>
      <c r="H560" t="s">
        <v>79</v>
      </c>
      <c r="I560" t="s">
        <v>80</v>
      </c>
      <c r="J560" t="s">
        <v>91</v>
      </c>
      <c r="K560" t="s">
        <v>78</v>
      </c>
      <c r="L560" t="s">
        <v>322</v>
      </c>
      <c r="M560" t="s">
        <v>322</v>
      </c>
      <c r="N560" t="s">
        <v>483</v>
      </c>
      <c r="O560" t="s">
        <v>82</v>
      </c>
      <c r="P560" t="str">
        <f>"4170062943                    "</f>
        <v xml:space="preserve">4170062943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43.31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137.47</v>
      </c>
      <c r="BM560">
        <v>20.62</v>
      </c>
      <c r="BN560">
        <v>158.09</v>
      </c>
      <c r="BO560">
        <v>158.09</v>
      </c>
      <c r="BQ560" t="s">
        <v>486</v>
      </c>
      <c r="BR560" t="s">
        <v>97</v>
      </c>
      <c r="BS560" s="3">
        <v>45937</v>
      </c>
      <c r="BT560" s="4">
        <v>0.52569444444444446</v>
      </c>
      <c r="BU560" t="s">
        <v>485</v>
      </c>
      <c r="BV560" t="s">
        <v>86</v>
      </c>
      <c r="BY560">
        <v>1200</v>
      </c>
      <c r="CA560" t="s">
        <v>326</v>
      </c>
      <c r="CC560" t="s">
        <v>322</v>
      </c>
      <c r="CD560">
        <v>7646</v>
      </c>
      <c r="CE560" t="s">
        <v>147</v>
      </c>
      <c r="CF560" s="3">
        <v>45938</v>
      </c>
      <c r="CI560">
        <v>1</v>
      </c>
      <c r="CJ560">
        <v>1</v>
      </c>
      <c r="CK560">
        <v>23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"080068342990"</f>
        <v>080068342990</v>
      </c>
      <c r="F561" s="3">
        <v>45936</v>
      </c>
      <c r="G561">
        <v>202607</v>
      </c>
      <c r="H561" t="s">
        <v>79</v>
      </c>
      <c r="I561" t="s">
        <v>80</v>
      </c>
      <c r="J561" t="s">
        <v>91</v>
      </c>
      <c r="K561" t="s">
        <v>78</v>
      </c>
      <c r="L561" t="s">
        <v>108</v>
      </c>
      <c r="M561" t="s">
        <v>109</v>
      </c>
      <c r="N561" t="s">
        <v>229</v>
      </c>
      <c r="O561" t="s">
        <v>82</v>
      </c>
      <c r="P561" t="str">
        <f>"4170062984                    "</f>
        <v xml:space="preserve">4170062984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22.36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70.959999999999994</v>
      </c>
      <c r="BM561">
        <v>10.64</v>
      </c>
      <c r="BN561">
        <v>81.599999999999994</v>
      </c>
      <c r="BO561">
        <v>81.599999999999994</v>
      </c>
      <c r="BQ561" t="s">
        <v>230</v>
      </c>
      <c r="BR561" t="s">
        <v>97</v>
      </c>
      <c r="BS561" s="3">
        <v>45937</v>
      </c>
      <c r="BT561" s="4">
        <v>0.36458333333333331</v>
      </c>
      <c r="BU561" t="s">
        <v>1158</v>
      </c>
      <c r="BV561" t="s">
        <v>86</v>
      </c>
      <c r="BY561">
        <v>1200</v>
      </c>
      <c r="CA561" t="s">
        <v>1145</v>
      </c>
      <c r="CC561" t="s">
        <v>109</v>
      </c>
      <c r="CD561">
        <v>6001</v>
      </c>
      <c r="CE561" t="s">
        <v>147</v>
      </c>
      <c r="CF561" s="3">
        <v>45944</v>
      </c>
      <c r="CI561">
        <v>1</v>
      </c>
      <c r="CJ561">
        <v>1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"080068343002"</f>
        <v>080068343002</v>
      </c>
      <c r="F562" s="3">
        <v>45936</v>
      </c>
      <c r="G562">
        <v>202607</v>
      </c>
      <c r="H562" t="s">
        <v>79</v>
      </c>
      <c r="I562" t="s">
        <v>80</v>
      </c>
      <c r="J562" t="s">
        <v>91</v>
      </c>
      <c r="K562" t="s">
        <v>78</v>
      </c>
      <c r="L562" t="s">
        <v>108</v>
      </c>
      <c r="M562" t="s">
        <v>109</v>
      </c>
      <c r="N562" t="s">
        <v>110</v>
      </c>
      <c r="O562" t="s">
        <v>82</v>
      </c>
      <c r="P562" t="str">
        <f>"4170062991                    "</f>
        <v xml:space="preserve">4170062991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22.36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70.959999999999994</v>
      </c>
      <c r="BM562">
        <v>10.64</v>
      </c>
      <c r="BN562">
        <v>81.599999999999994</v>
      </c>
      <c r="BO562">
        <v>81.599999999999994</v>
      </c>
      <c r="BQ562" t="s">
        <v>111</v>
      </c>
      <c r="BR562" t="s">
        <v>97</v>
      </c>
      <c r="BS562" s="3">
        <v>45937</v>
      </c>
      <c r="BT562" s="4">
        <v>0.31874999999999998</v>
      </c>
      <c r="BU562" t="s">
        <v>1266</v>
      </c>
      <c r="BV562" t="s">
        <v>86</v>
      </c>
      <c r="BY562">
        <v>1200</v>
      </c>
      <c r="CA562" t="s">
        <v>1137</v>
      </c>
      <c r="CC562" t="s">
        <v>109</v>
      </c>
      <c r="CD562">
        <v>6045</v>
      </c>
      <c r="CE562" t="s">
        <v>147</v>
      </c>
      <c r="CF562" s="3">
        <v>45937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"080068343020"</f>
        <v>080068343020</v>
      </c>
      <c r="F563" s="3">
        <v>45936</v>
      </c>
      <c r="G563">
        <v>202607</v>
      </c>
      <c r="H563" t="s">
        <v>79</v>
      </c>
      <c r="I563" t="s">
        <v>80</v>
      </c>
      <c r="J563" t="s">
        <v>91</v>
      </c>
      <c r="K563" t="s">
        <v>78</v>
      </c>
      <c r="L563" t="s">
        <v>322</v>
      </c>
      <c r="M563" t="s">
        <v>322</v>
      </c>
      <c r="N563" t="s">
        <v>1267</v>
      </c>
      <c r="O563" t="s">
        <v>82</v>
      </c>
      <c r="P563" t="str">
        <f>"4170062972                    "</f>
        <v xml:space="preserve">4170062972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43.31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137.47</v>
      </c>
      <c r="BM563">
        <v>20.62</v>
      </c>
      <c r="BN563">
        <v>158.09</v>
      </c>
      <c r="BO563">
        <v>158.09</v>
      </c>
      <c r="BQ563" t="s">
        <v>1268</v>
      </c>
      <c r="BR563" t="s">
        <v>97</v>
      </c>
      <c r="BS563" s="3">
        <v>45937</v>
      </c>
      <c r="BT563" s="4">
        <v>0.44861111111111113</v>
      </c>
      <c r="BU563" t="s">
        <v>1269</v>
      </c>
      <c r="BV563" t="s">
        <v>86</v>
      </c>
      <c r="BY563">
        <v>1200</v>
      </c>
      <c r="CA563" t="s">
        <v>1270</v>
      </c>
      <c r="CC563" t="s">
        <v>322</v>
      </c>
      <c r="CD563">
        <v>7655</v>
      </c>
      <c r="CE563" t="s">
        <v>147</v>
      </c>
      <c r="CF563" s="3">
        <v>45938</v>
      </c>
      <c r="CI563">
        <v>1</v>
      </c>
      <c r="CJ563">
        <v>1</v>
      </c>
      <c r="CK563">
        <v>23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"080068343049"</f>
        <v>080068343049</v>
      </c>
      <c r="F564" s="3">
        <v>45936</v>
      </c>
      <c r="G564">
        <v>202607</v>
      </c>
      <c r="H564" t="s">
        <v>79</v>
      </c>
      <c r="I564" t="s">
        <v>80</v>
      </c>
      <c r="J564" t="s">
        <v>91</v>
      </c>
      <c r="K564" t="s">
        <v>78</v>
      </c>
      <c r="L564" t="s">
        <v>121</v>
      </c>
      <c r="M564" t="s">
        <v>122</v>
      </c>
      <c r="N564" t="s">
        <v>154</v>
      </c>
      <c r="O564" t="s">
        <v>82</v>
      </c>
      <c r="P564" t="str">
        <f>"4170062874                    "</f>
        <v xml:space="preserve">4170062874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22.36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70.959999999999994</v>
      </c>
      <c r="BM564">
        <v>10.64</v>
      </c>
      <c r="BN564">
        <v>81.599999999999994</v>
      </c>
      <c r="BO564">
        <v>81.599999999999994</v>
      </c>
      <c r="BQ564" t="s">
        <v>155</v>
      </c>
      <c r="BR564" t="s">
        <v>97</v>
      </c>
      <c r="BS564" s="3">
        <v>45937</v>
      </c>
      <c r="BT564" s="4">
        <v>0.40625</v>
      </c>
      <c r="BU564" t="s">
        <v>1271</v>
      </c>
      <c r="BV564" t="s">
        <v>86</v>
      </c>
      <c r="BY564">
        <v>1200</v>
      </c>
      <c r="CC564" t="s">
        <v>122</v>
      </c>
      <c r="CD564">
        <v>4052</v>
      </c>
      <c r="CE564" t="s">
        <v>147</v>
      </c>
      <c r="CF564" s="3">
        <v>45938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"080068343048"</f>
        <v>080068343048</v>
      </c>
      <c r="F565" s="3">
        <v>45936</v>
      </c>
      <c r="G565">
        <v>202607</v>
      </c>
      <c r="H565" t="s">
        <v>79</v>
      </c>
      <c r="I565" t="s">
        <v>80</v>
      </c>
      <c r="J565" t="s">
        <v>91</v>
      </c>
      <c r="K565" t="s">
        <v>78</v>
      </c>
      <c r="L565" t="s">
        <v>148</v>
      </c>
      <c r="M565" t="s">
        <v>149</v>
      </c>
      <c r="N565" t="s">
        <v>465</v>
      </c>
      <c r="O565" t="s">
        <v>82</v>
      </c>
      <c r="P565" t="str">
        <f>"4170063000                    "</f>
        <v xml:space="preserve">4170063000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17.46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2.4</v>
      </c>
      <c r="BK565">
        <v>3</v>
      </c>
      <c r="BL565">
        <v>55.42</v>
      </c>
      <c r="BM565">
        <v>8.31</v>
      </c>
      <c r="BN565">
        <v>63.73</v>
      </c>
      <c r="BO565">
        <v>63.73</v>
      </c>
      <c r="BQ565" t="s">
        <v>466</v>
      </c>
      <c r="BR565" t="s">
        <v>97</v>
      </c>
      <c r="BS565" s="3">
        <v>45937</v>
      </c>
      <c r="BT565" s="4">
        <v>0.40416666666666667</v>
      </c>
      <c r="BU565" t="s">
        <v>518</v>
      </c>
      <c r="BV565" t="s">
        <v>86</v>
      </c>
      <c r="BY565">
        <v>12000</v>
      </c>
      <c r="CA565" t="s">
        <v>519</v>
      </c>
      <c r="CC565" t="s">
        <v>149</v>
      </c>
      <c r="CD565">
        <v>2094</v>
      </c>
      <c r="CE565" t="s">
        <v>147</v>
      </c>
      <c r="CF565" s="3">
        <v>45937</v>
      </c>
      <c r="CI565">
        <v>1</v>
      </c>
      <c r="CJ565">
        <v>1</v>
      </c>
      <c r="CK565">
        <v>22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"080068343097"</f>
        <v>080068343097</v>
      </c>
      <c r="F566" s="3">
        <v>45936</v>
      </c>
      <c r="G566">
        <v>202607</v>
      </c>
      <c r="H566" t="s">
        <v>79</v>
      </c>
      <c r="I566" t="s">
        <v>80</v>
      </c>
      <c r="J566" t="s">
        <v>91</v>
      </c>
      <c r="K566" t="s">
        <v>78</v>
      </c>
      <c r="L566" t="s">
        <v>453</v>
      </c>
      <c r="M566" t="s">
        <v>454</v>
      </c>
      <c r="N566" t="s">
        <v>1223</v>
      </c>
      <c r="O566" t="s">
        <v>82</v>
      </c>
      <c r="P566" t="str">
        <f>"4170062989                    "</f>
        <v xml:space="preserve">4170062989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22.36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70.959999999999994</v>
      </c>
      <c r="BM566">
        <v>10.64</v>
      </c>
      <c r="BN566">
        <v>81.599999999999994</v>
      </c>
      <c r="BO566">
        <v>81.599999999999994</v>
      </c>
      <c r="BQ566" t="s">
        <v>1224</v>
      </c>
      <c r="BR566" t="s">
        <v>97</v>
      </c>
      <c r="BS566" s="3">
        <v>45937</v>
      </c>
      <c r="BT566" s="4">
        <v>0.56805555555555554</v>
      </c>
      <c r="BU566" t="s">
        <v>1225</v>
      </c>
      <c r="BV566" t="s">
        <v>90</v>
      </c>
      <c r="BW566" t="s">
        <v>136</v>
      </c>
      <c r="BX566" t="s">
        <v>858</v>
      </c>
      <c r="BY566">
        <v>1200</v>
      </c>
      <c r="CA566" t="s">
        <v>742</v>
      </c>
      <c r="CC566" t="s">
        <v>454</v>
      </c>
      <c r="CD566">
        <v>3610</v>
      </c>
      <c r="CE566" t="s">
        <v>147</v>
      </c>
      <c r="CF566" s="3">
        <v>45938</v>
      </c>
      <c r="CI566">
        <v>1</v>
      </c>
      <c r="CJ566">
        <v>1</v>
      </c>
      <c r="CK566">
        <v>21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"080068343143"</f>
        <v>080068343143</v>
      </c>
      <c r="F567" s="3">
        <v>45936</v>
      </c>
      <c r="G567">
        <v>202607</v>
      </c>
      <c r="H567" t="s">
        <v>79</v>
      </c>
      <c r="I567" t="s">
        <v>80</v>
      </c>
      <c r="J567" t="s">
        <v>91</v>
      </c>
      <c r="K567" t="s">
        <v>78</v>
      </c>
      <c r="L567" t="s">
        <v>763</v>
      </c>
      <c r="M567" t="s">
        <v>764</v>
      </c>
      <c r="N567" t="s">
        <v>765</v>
      </c>
      <c r="O567" t="s">
        <v>82</v>
      </c>
      <c r="P567" t="str">
        <f>"4170062971                    "</f>
        <v xml:space="preserve">4170062971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43.31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137.47</v>
      </c>
      <c r="BM567">
        <v>20.62</v>
      </c>
      <c r="BN567">
        <v>158.09</v>
      </c>
      <c r="BO567">
        <v>158.09</v>
      </c>
      <c r="BQ567" t="s">
        <v>766</v>
      </c>
      <c r="BR567" t="s">
        <v>97</v>
      </c>
      <c r="BS567" s="3">
        <v>45937</v>
      </c>
      <c r="BT567" s="4">
        <v>0.42986111111111114</v>
      </c>
      <c r="BU567" t="s">
        <v>1195</v>
      </c>
      <c r="BV567" t="s">
        <v>86</v>
      </c>
      <c r="BY567">
        <v>1200</v>
      </c>
      <c r="CA567" t="s">
        <v>768</v>
      </c>
      <c r="CC567" t="s">
        <v>764</v>
      </c>
      <c r="CD567">
        <v>2531</v>
      </c>
      <c r="CE567" t="s">
        <v>147</v>
      </c>
      <c r="CF567" s="3">
        <v>45938</v>
      </c>
      <c r="CI567">
        <v>1</v>
      </c>
      <c r="CJ567">
        <v>1</v>
      </c>
      <c r="CK567">
        <v>23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"080068343193"</f>
        <v>080068343193</v>
      </c>
      <c r="F568" s="3">
        <v>45936</v>
      </c>
      <c r="G568">
        <v>202607</v>
      </c>
      <c r="H568" t="s">
        <v>79</v>
      </c>
      <c r="I568" t="s">
        <v>80</v>
      </c>
      <c r="J568" t="s">
        <v>91</v>
      </c>
      <c r="K568" t="s">
        <v>78</v>
      </c>
      <c r="L568" t="s">
        <v>206</v>
      </c>
      <c r="M568" t="s">
        <v>207</v>
      </c>
      <c r="N568" t="s">
        <v>208</v>
      </c>
      <c r="O568" t="s">
        <v>82</v>
      </c>
      <c r="P568" t="str">
        <f>"4170062990                    "</f>
        <v xml:space="preserve">4170062990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22.36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70.959999999999994</v>
      </c>
      <c r="BM568">
        <v>10.64</v>
      </c>
      <c r="BN568">
        <v>81.599999999999994</v>
      </c>
      <c r="BO568">
        <v>81.599999999999994</v>
      </c>
      <c r="BQ568" t="s">
        <v>209</v>
      </c>
      <c r="BR568" t="s">
        <v>97</v>
      </c>
      <c r="BS568" s="3">
        <v>45937</v>
      </c>
      <c r="BT568" s="4">
        <v>0.38958333333333334</v>
      </c>
      <c r="BU568" t="s">
        <v>210</v>
      </c>
      <c r="BV568" t="s">
        <v>86</v>
      </c>
      <c r="BY568">
        <v>1200</v>
      </c>
      <c r="CA568" t="s">
        <v>211</v>
      </c>
      <c r="CC568" t="s">
        <v>207</v>
      </c>
      <c r="CD568">
        <v>7441</v>
      </c>
      <c r="CE568" t="s">
        <v>147</v>
      </c>
      <c r="CF568" s="3">
        <v>45938</v>
      </c>
      <c r="CI568">
        <v>1</v>
      </c>
      <c r="CJ568">
        <v>1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"080068343230"</f>
        <v>080068343230</v>
      </c>
      <c r="F569" s="3">
        <v>45936</v>
      </c>
      <c r="G569">
        <v>202607</v>
      </c>
      <c r="H569" t="s">
        <v>79</v>
      </c>
      <c r="I569" t="s">
        <v>80</v>
      </c>
      <c r="J569" t="s">
        <v>91</v>
      </c>
      <c r="K569" t="s">
        <v>78</v>
      </c>
      <c r="L569" t="s">
        <v>121</v>
      </c>
      <c r="M569" t="s">
        <v>122</v>
      </c>
      <c r="N569" t="s">
        <v>1111</v>
      </c>
      <c r="O569" t="s">
        <v>82</v>
      </c>
      <c r="P569" t="str">
        <f>"4170062999                    "</f>
        <v xml:space="preserve">4170062999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22.36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70.959999999999994</v>
      </c>
      <c r="BM569">
        <v>10.64</v>
      </c>
      <c r="BN569">
        <v>81.599999999999994</v>
      </c>
      <c r="BO569">
        <v>81.599999999999994</v>
      </c>
      <c r="BQ569" t="s">
        <v>1112</v>
      </c>
      <c r="BR569" t="s">
        <v>97</v>
      </c>
      <c r="BS569" s="3">
        <v>45937</v>
      </c>
      <c r="BT569" s="4">
        <v>0.375</v>
      </c>
      <c r="BU569" t="s">
        <v>1272</v>
      </c>
      <c r="BV569" t="s">
        <v>86</v>
      </c>
      <c r="BY569">
        <v>1200</v>
      </c>
      <c r="CA569" t="s">
        <v>1114</v>
      </c>
      <c r="CC569" t="s">
        <v>122</v>
      </c>
      <c r="CD569">
        <v>4001</v>
      </c>
      <c r="CE569" t="s">
        <v>147</v>
      </c>
      <c r="CF569" s="3">
        <v>45938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"080068343301"</f>
        <v>080068343301</v>
      </c>
      <c r="F570" s="3">
        <v>45936</v>
      </c>
      <c r="G570">
        <v>202607</v>
      </c>
      <c r="H570" t="s">
        <v>79</v>
      </c>
      <c r="I570" t="s">
        <v>80</v>
      </c>
      <c r="J570" t="s">
        <v>91</v>
      </c>
      <c r="K570" t="s">
        <v>78</v>
      </c>
      <c r="L570" t="s">
        <v>530</v>
      </c>
      <c r="M570" t="s">
        <v>531</v>
      </c>
      <c r="N570" t="s">
        <v>754</v>
      </c>
      <c r="O570" t="s">
        <v>82</v>
      </c>
      <c r="P570" t="str">
        <f>"4170062988                    "</f>
        <v xml:space="preserve">4170062988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43.31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137.47</v>
      </c>
      <c r="BM570">
        <v>20.62</v>
      </c>
      <c r="BN570">
        <v>158.09</v>
      </c>
      <c r="BO570">
        <v>158.09</v>
      </c>
      <c r="BQ570" t="s">
        <v>755</v>
      </c>
      <c r="BR570" t="s">
        <v>97</v>
      </c>
      <c r="BS570" s="3">
        <v>45937</v>
      </c>
      <c r="BT570" s="4">
        <v>0.55833333333333335</v>
      </c>
      <c r="BU570" t="s">
        <v>1273</v>
      </c>
      <c r="BV570" t="s">
        <v>86</v>
      </c>
      <c r="BY570">
        <v>1200</v>
      </c>
      <c r="CA570" t="s">
        <v>1245</v>
      </c>
      <c r="CC570" t="s">
        <v>531</v>
      </c>
      <c r="CD570">
        <v>6850</v>
      </c>
      <c r="CE570" t="s">
        <v>147</v>
      </c>
      <c r="CF570" s="3">
        <v>45938</v>
      </c>
      <c r="CI570">
        <v>2</v>
      </c>
      <c r="CJ570">
        <v>1</v>
      </c>
      <c r="CK570">
        <v>23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"080068343608"</f>
        <v>080068343608</v>
      </c>
      <c r="F571" s="3">
        <v>45936</v>
      </c>
      <c r="G571">
        <v>202607</v>
      </c>
      <c r="H571" t="s">
        <v>79</v>
      </c>
      <c r="I571" t="s">
        <v>80</v>
      </c>
      <c r="J571" t="s">
        <v>91</v>
      </c>
      <c r="K571" t="s">
        <v>78</v>
      </c>
      <c r="L571" t="s">
        <v>108</v>
      </c>
      <c r="M571" t="s">
        <v>109</v>
      </c>
      <c r="N571" t="s">
        <v>548</v>
      </c>
      <c r="O571" t="s">
        <v>82</v>
      </c>
      <c r="P571" t="str">
        <f>"4170062996                    "</f>
        <v xml:space="preserve">4170062996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89.37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8</v>
      </c>
      <c r="BJ571">
        <v>5.3</v>
      </c>
      <c r="BK571">
        <v>8</v>
      </c>
      <c r="BL571">
        <v>283.64999999999998</v>
      </c>
      <c r="BM571">
        <v>42.55</v>
      </c>
      <c r="BN571">
        <v>326.2</v>
      </c>
      <c r="BO571">
        <v>326.2</v>
      </c>
      <c r="BQ571" t="s">
        <v>549</v>
      </c>
      <c r="BR571" t="s">
        <v>97</v>
      </c>
      <c r="BS571" s="3">
        <v>45937</v>
      </c>
      <c r="BT571" s="4">
        <v>0.34375</v>
      </c>
      <c r="BU571" t="s">
        <v>1274</v>
      </c>
      <c r="BV571" t="s">
        <v>86</v>
      </c>
      <c r="BY571">
        <v>26624</v>
      </c>
      <c r="CA571" t="s">
        <v>1090</v>
      </c>
      <c r="CC571" t="s">
        <v>109</v>
      </c>
      <c r="CD571">
        <v>6001</v>
      </c>
      <c r="CE571" t="s">
        <v>107</v>
      </c>
      <c r="CF571" s="3">
        <v>45937</v>
      </c>
      <c r="CI571">
        <v>1</v>
      </c>
      <c r="CJ571">
        <v>1</v>
      </c>
      <c r="CK571">
        <v>21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"080068343650"</f>
        <v>080068343650</v>
      </c>
      <c r="F572" s="3">
        <v>45936</v>
      </c>
      <c r="G572">
        <v>202607</v>
      </c>
      <c r="H572" t="s">
        <v>79</v>
      </c>
      <c r="I572" t="s">
        <v>80</v>
      </c>
      <c r="J572" t="s">
        <v>91</v>
      </c>
      <c r="K572" t="s">
        <v>78</v>
      </c>
      <c r="L572" t="s">
        <v>233</v>
      </c>
      <c r="M572" t="s">
        <v>234</v>
      </c>
      <c r="N572" t="s">
        <v>908</v>
      </c>
      <c r="O572" t="s">
        <v>95</v>
      </c>
      <c r="P572" t="str">
        <f>"4170062994                    "</f>
        <v xml:space="preserve">4170062994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43.23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6</v>
      </c>
      <c r="BJ572">
        <v>1.1000000000000001</v>
      </c>
      <c r="BK572">
        <v>6</v>
      </c>
      <c r="BL572">
        <v>143.08000000000001</v>
      </c>
      <c r="BM572">
        <v>21.46</v>
      </c>
      <c r="BN572">
        <v>164.54</v>
      </c>
      <c r="BO572">
        <v>164.54</v>
      </c>
      <c r="BQ572" t="s">
        <v>909</v>
      </c>
      <c r="BR572" t="s">
        <v>97</v>
      </c>
      <c r="BS572" s="3">
        <v>45937</v>
      </c>
      <c r="BT572" s="4">
        <v>0.38194444444444442</v>
      </c>
      <c r="BU572" t="s">
        <v>1275</v>
      </c>
      <c r="BV572" t="s">
        <v>86</v>
      </c>
      <c r="BY572">
        <v>5510</v>
      </c>
      <c r="CC572" t="s">
        <v>234</v>
      </c>
      <c r="CD572" s="5" t="s">
        <v>238</v>
      </c>
      <c r="CE572" t="s">
        <v>191</v>
      </c>
      <c r="CF572" s="3">
        <v>45937</v>
      </c>
      <c r="CI572">
        <v>1</v>
      </c>
      <c r="CJ572">
        <v>1</v>
      </c>
      <c r="CK572">
        <v>41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"080068343693"</f>
        <v>080068343693</v>
      </c>
      <c r="F573" s="3">
        <v>45936</v>
      </c>
      <c r="G573">
        <v>202607</v>
      </c>
      <c r="H573" t="s">
        <v>79</v>
      </c>
      <c r="I573" t="s">
        <v>80</v>
      </c>
      <c r="J573" t="s">
        <v>91</v>
      </c>
      <c r="K573" t="s">
        <v>78</v>
      </c>
      <c r="L573" t="s">
        <v>108</v>
      </c>
      <c r="M573" t="s">
        <v>109</v>
      </c>
      <c r="N573" t="s">
        <v>548</v>
      </c>
      <c r="O573" t="s">
        <v>82</v>
      </c>
      <c r="P573" t="str">
        <f>"4170063024                    "</f>
        <v xml:space="preserve">4170063024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33.520000000000003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1.7</v>
      </c>
      <c r="BK573">
        <v>3</v>
      </c>
      <c r="BL573">
        <v>106.4</v>
      </c>
      <c r="BM573">
        <v>15.96</v>
      </c>
      <c r="BN573">
        <v>122.36</v>
      </c>
      <c r="BO573">
        <v>122.36</v>
      </c>
      <c r="BQ573" t="s">
        <v>549</v>
      </c>
      <c r="BR573" t="s">
        <v>97</v>
      </c>
      <c r="BS573" s="3">
        <v>45937</v>
      </c>
      <c r="BT573" s="4">
        <v>0.34375</v>
      </c>
      <c r="BU573" t="s">
        <v>1276</v>
      </c>
      <c r="BV573" t="s">
        <v>86</v>
      </c>
      <c r="BY573">
        <v>8512</v>
      </c>
      <c r="CA573" t="s">
        <v>1090</v>
      </c>
      <c r="CC573" t="s">
        <v>109</v>
      </c>
      <c r="CD573">
        <v>6001</v>
      </c>
      <c r="CE573" t="s">
        <v>191</v>
      </c>
      <c r="CF573" s="3">
        <v>45937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"080068343730"</f>
        <v>080068343730</v>
      </c>
      <c r="F574" s="3">
        <v>45936</v>
      </c>
      <c r="G574">
        <v>202607</v>
      </c>
      <c r="H574" t="s">
        <v>79</v>
      </c>
      <c r="I574" t="s">
        <v>80</v>
      </c>
      <c r="J574" t="s">
        <v>91</v>
      </c>
      <c r="K574" t="s">
        <v>78</v>
      </c>
      <c r="L574" t="s">
        <v>206</v>
      </c>
      <c r="M574" t="s">
        <v>207</v>
      </c>
      <c r="N574" t="s">
        <v>458</v>
      </c>
      <c r="O574" t="s">
        <v>82</v>
      </c>
      <c r="P574" t="str">
        <f>"4170063087                    "</f>
        <v xml:space="preserve">4170063087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22.36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2</v>
      </c>
      <c r="BJ574">
        <v>1.7</v>
      </c>
      <c r="BK574">
        <v>2</v>
      </c>
      <c r="BL574">
        <v>70.959999999999994</v>
      </c>
      <c r="BM574">
        <v>10.64</v>
      </c>
      <c r="BN574">
        <v>81.599999999999994</v>
      </c>
      <c r="BO574">
        <v>81.599999999999994</v>
      </c>
      <c r="BQ574" t="s">
        <v>459</v>
      </c>
      <c r="BR574" t="s">
        <v>97</v>
      </c>
      <c r="BS574" s="3">
        <v>45937</v>
      </c>
      <c r="BT574" s="4">
        <v>0.50694444444444442</v>
      </c>
      <c r="BU574" t="s">
        <v>1194</v>
      </c>
      <c r="BV574" t="s">
        <v>90</v>
      </c>
      <c r="BW574" t="s">
        <v>347</v>
      </c>
      <c r="BX574" t="s">
        <v>1038</v>
      </c>
      <c r="BY574">
        <v>8512</v>
      </c>
      <c r="CC574" t="s">
        <v>207</v>
      </c>
      <c r="CD574">
        <v>7530</v>
      </c>
      <c r="CE574" t="s">
        <v>191</v>
      </c>
      <c r="CF574" s="3">
        <v>45938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"080068343765"</f>
        <v>080068343765</v>
      </c>
      <c r="F575" s="3">
        <v>45936</v>
      </c>
      <c r="G575">
        <v>202607</v>
      </c>
      <c r="H575" t="s">
        <v>79</v>
      </c>
      <c r="I575" t="s">
        <v>80</v>
      </c>
      <c r="J575" t="s">
        <v>91</v>
      </c>
      <c r="K575" t="s">
        <v>78</v>
      </c>
      <c r="L575" t="s">
        <v>206</v>
      </c>
      <c r="M575" t="s">
        <v>207</v>
      </c>
      <c r="N575" t="s">
        <v>458</v>
      </c>
      <c r="O575" t="s">
        <v>82</v>
      </c>
      <c r="P575" t="str">
        <f>"4170063088                    "</f>
        <v xml:space="preserve">4170063088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22.36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2</v>
      </c>
      <c r="BJ575">
        <v>1.7</v>
      </c>
      <c r="BK575">
        <v>2</v>
      </c>
      <c r="BL575">
        <v>70.959999999999994</v>
      </c>
      <c r="BM575">
        <v>10.64</v>
      </c>
      <c r="BN575">
        <v>81.599999999999994</v>
      </c>
      <c r="BO575">
        <v>81.599999999999994</v>
      </c>
      <c r="BQ575" t="s">
        <v>459</v>
      </c>
      <c r="BR575" t="s">
        <v>97</v>
      </c>
      <c r="BS575" s="3">
        <v>45937</v>
      </c>
      <c r="BT575" s="4">
        <v>0.50694444444444442</v>
      </c>
      <c r="BU575" t="s">
        <v>1194</v>
      </c>
      <c r="BV575" t="s">
        <v>90</v>
      </c>
      <c r="BW575" t="s">
        <v>347</v>
      </c>
      <c r="BX575" t="s">
        <v>1038</v>
      </c>
      <c r="BY575">
        <v>8512</v>
      </c>
      <c r="CC575" t="s">
        <v>207</v>
      </c>
      <c r="CD575">
        <v>7530</v>
      </c>
      <c r="CE575" t="s">
        <v>191</v>
      </c>
      <c r="CF575" s="3">
        <v>45938</v>
      </c>
      <c r="CI575">
        <v>1</v>
      </c>
      <c r="CJ575">
        <v>1</v>
      </c>
      <c r="CK575">
        <v>21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"080068343781"</f>
        <v>080068343781</v>
      </c>
      <c r="F576" s="3">
        <v>45936</v>
      </c>
      <c r="G576">
        <v>202607</v>
      </c>
      <c r="H576" t="s">
        <v>79</v>
      </c>
      <c r="I576" t="s">
        <v>80</v>
      </c>
      <c r="J576" t="s">
        <v>91</v>
      </c>
      <c r="K576" t="s">
        <v>78</v>
      </c>
      <c r="L576" t="s">
        <v>322</v>
      </c>
      <c r="M576" t="s">
        <v>322</v>
      </c>
      <c r="N576" t="s">
        <v>323</v>
      </c>
      <c r="O576" t="s">
        <v>95</v>
      </c>
      <c r="P576" t="str">
        <f>"4170063038                    "</f>
        <v xml:space="preserve">4170063038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553.02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80</v>
      </c>
      <c r="BJ576">
        <v>172.8</v>
      </c>
      <c r="BK576">
        <v>173</v>
      </c>
      <c r="BL576">
        <v>1761.1</v>
      </c>
      <c r="BM576">
        <v>264.17</v>
      </c>
      <c r="BN576">
        <v>2025.27</v>
      </c>
      <c r="BO576">
        <v>2025.27</v>
      </c>
      <c r="BQ576" t="s">
        <v>324</v>
      </c>
      <c r="BR576" t="s">
        <v>97</v>
      </c>
      <c r="BS576" s="3">
        <v>45938</v>
      </c>
      <c r="BT576" s="4">
        <v>0.41666666666666669</v>
      </c>
      <c r="BU576" t="s">
        <v>1277</v>
      </c>
      <c r="BV576" t="s">
        <v>86</v>
      </c>
      <c r="BY576">
        <v>864000</v>
      </c>
      <c r="CC576" t="s">
        <v>322</v>
      </c>
      <c r="CD576">
        <v>7646</v>
      </c>
      <c r="CE576" t="s">
        <v>1122</v>
      </c>
      <c r="CF576" s="3">
        <v>45939</v>
      </c>
      <c r="CI576">
        <v>3</v>
      </c>
      <c r="CJ576">
        <v>2</v>
      </c>
      <c r="CK576">
        <v>43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"080068343800"</f>
        <v>080068343800</v>
      </c>
      <c r="F577" s="3">
        <v>45936</v>
      </c>
      <c r="G577">
        <v>202607</v>
      </c>
      <c r="H577" t="s">
        <v>79</v>
      </c>
      <c r="I577" t="s">
        <v>80</v>
      </c>
      <c r="J577" t="s">
        <v>91</v>
      </c>
      <c r="K577" t="s">
        <v>78</v>
      </c>
      <c r="L577" t="s">
        <v>121</v>
      </c>
      <c r="M577" t="s">
        <v>122</v>
      </c>
      <c r="N577" t="s">
        <v>1278</v>
      </c>
      <c r="O577" t="s">
        <v>82</v>
      </c>
      <c r="P577" t="str">
        <f>"4170063098                    "</f>
        <v xml:space="preserve">4170063098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44.69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4</v>
      </c>
      <c r="BJ577">
        <v>3.4</v>
      </c>
      <c r="BK577">
        <v>4</v>
      </c>
      <c r="BL577">
        <v>141.85</v>
      </c>
      <c r="BM577">
        <v>21.28</v>
      </c>
      <c r="BN577">
        <v>163.13</v>
      </c>
      <c r="BO577">
        <v>163.13</v>
      </c>
      <c r="BQ577" t="s">
        <v>1279</v>
      </c>
      <c r="BR577" t="s">
        <v>97</v>
      </c>
      <c r="BS577" s="3">
        <v>45937</v>
      </c>
      <c r="BT577" s="4">
        <v>0.43472222222222223</v>
      </c>
      <c r="BU577" t="s">
        <v>1280</v>
      </c>
      <c r="BV577" t="s">
        <v>86</v>
      </c>
      <c r="BY577">
        <v>16965</v>
      </c>
      <c r="CA577" t="s">
        <v>1215</v>
      </c>
      <c r="CC577" t="s">
        <v>122</v>
      </c>
      <c r="CD577">
        <v>4000</v>
      </c>
      <c r="CE577" t="s">
        <v>191</v>
      </c>
      <c r="CF577" s="3">
        <v>45937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"080068343841"</f>
        <v>080068343841</v>
      </c>
      <c r="F578" s="3">
        <v>45936</v>
      </c>
      <c r="G578">
        <v>202607</v>
      </c>
      <c r="H578" t="s">
        <v>79</v>
      </c>
      <c r="I578" t="s">
        <v>80</v>
      </c>
      <c r="J578" t="s">
        <v>91</v>
      </c>
      <c r="K578" t="s">
        <v>78</v>
      </c>
      <c r="L578" t="s">
        <v>206</v>
      </c>
      <c r="M578" t="s">
        <v>207</v>
      </c>
      <c r="N578" t="s">
        <v>656</v>
      </c>
      <c r="O578" t="s">
        <v>82</v>
      </c>
      <c r="P578" t="str">
        <f>"4170063105                    "</f>
        <v xml:space="preserve">4170063105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22.36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70.959999999999994</v>
      </c>
      <c r="BM578">
        <v>10.64</v>
      </c>
      <c r="BN578">
        <v>81.599999999999994</v>
      </c>
      <c r="BO578">
        <v>81.599999999999994</v>
      </c>
      <c r="BQ578" t="s">
        <v>657</v>
      </c>
      <c r="BR578" t="s">
        <v>97</v>
      </c>
      <c r="BS578" s="3">
        <v>45937</v>
      </c>
      <c r="BT578" s="4">
        <v>0.4236111111111111</v>
      </c>
      <c r="BU578" t="s">
        <v>658</v>
      </c>
      <c r="BV578" t="s">
        <v>86</v>
      </c>
      <c r="BY578">
        <v>1200</v>
      </c>
      <c r="CA578" t="s">
        <v>211</v>
      </c>
      <c r="CC578" t="s">
        <v>207</v>
      </c>
      <c r="CD578">
        <v>7441</v>
      </c>
      <c r="CE578" t="s">
        <v>147</v>
      </c>
      <c r="CF578" s="3">
        <v>45938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"080068343865"</f>
        <v>080068343865</v>
      </c>
      <c r="F579" s="3">
        <v>45936</v>
      </c>
      <c r="G579">
        <v>202607</v>
      </c>
      <c r="H579" t="s">
        <v>79</v>
      </c>
      <c r="I579" t="s">
        <v>80</v>
      </c>
      <c r="J579" t="s">
        <v>91</v>
      </c>
      <c r="K579" t="s">
        <v>78</v>
      </c>
      <c r="L579" t="s">
        <v>108</v>
      </c>
      <c r="M579" t="s">
        <v>109</v>
      </c>
      <c r="N579" t="s">
        <v>1176</v>
      </c>
      <c r="O579" t="s">
        <v>82</v>
      </c>
      <c r="P579" t="str">
        <f>"4170062932                    "</f>
        <v xml:space="preserve">4170062932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22.36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70.959999999999994</v>
      </c>
      <c r="BM579">
        <v>10.64</v>
      </c>
      <c r="BN579">
        <v>81.599999999999994</v>
      </c>
      <c r="BO579">
        <v>81.599999999999994</v>
      </c>
      <c r="BQ579" t="s">
        <v>1177</v>
      </c>
      <c r="BR579" t="s">
        <v>97</v>
      </c>
      <c r="BS579" s="3">
        <v>45937</v>
      </c>
      <c r="BT579" s="4">
        <v>0.41041666666666665</v>
      </c>
      <c r="BU579" t="s">
        <v>1178</v>
      </c>
      <c r="BV579" t="s">
        <v>86</v>
      </c>
      <c r="BY579">
        <v>1200</v>
      </c>
      <c r="CA579" t="s">
        <v>1137</v>
      </c>
      <c r="CC579" t="s">
        <v>109</v>
      </c>
      <c r="CD579">
        <v>6001</v>
      </c>
      <c r="CE579" t="s">
        <v>147</v>
      </c>
      <c r="CF579" s="3">
        <v>45937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"080068343890"</f>
        <v>080068343890</v>
      </c>
      <c r="F580" s="3">
        <v>45936</v>
      </c>
      <c r="G580">
        <v>202607</v>
      </c>
      <c r="H580" t="s">
        <v>79</v>
      </c>
      <c r="I580" t="s">
        <v>80</v>
      </c>
      <c r="J580" t="s">
        <v>91</v>
      </c>
      <c r="K580" t="s">
        <v>78</v>
      </c>
      <c r="L580" t="s">
        <v>79</v>
      </c>
      <c r="M580" t="s">
        <v>80</v>
      </c>
      <c r="N580" t="s">
        <v>577</v>
      </c>
      <c r="O580" t="s">
        <v>82</v>
      </c>
      <c r="P580" t="str">
        <f>"4170062976                    "</f>
        <v xml:space="preserve">4170062976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17.46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55.42</v>
      </c>
      <c r="BM580">
        <v>8.31</v>
      </c>
      <c r="BN580">
        <v>63.73</v>
      </c>
      <c r="BO580">
        <v>63.73</v>
      </c>
      <c r="BQ580" t="s">
        <v>578</v>
      </c>
      <c r="BR580" t="s">
        <v>97</v>
      </c>
      <c r="BS580" s="3">
        <v>45937</v>
      </c>
      <c r="BT580" s="4">
        <v>0.38819444444444445</v>
      </c>
      <c r="BU580" t="s">
        <v>579</v>
      </c>
      <c r="BV580" t="s">
        <v>86</v>
      </c>
      <c r="BY580">
        <v>1200</v>
      </c>
      <c r="CA580" t="s">
        <v>580</v>
      </c>
      <c r="CC580" t="s">
        <v>80</v>
      </c>
      <c r="CD580">
        <v>1619</v>
      </c>
      <c r="CE580" t="s">
        <v>147</v>
      </c>
      <c r="CF580" s="3">
        <v>45938</v>
      </c>
      <c r="CI580">
        <v>1</v>
      </c>
      <c r="CJ580">
        <v>1</v>
      </c>
      <c r="CK580">
        <v>22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"080068344166"</f>
        <v>080068344166</v>
      </c>
      <c r="F581" s="3">
        <v>45936</v>
      </c>
      <c r="G581">
        <v>202607</v>
      </c>
      <c r="H581" t="s">
        <v>79</v>
      </c>
      <c r="I581" t="s">
        <v>80</v>
      </c>
      <c r="J581" t="s">
        <v>91</v>
      </c>
      <c r="K581" t="s">
        <v>78</v>
      </c>
      <c r="L581" t="s">
        <v>148</v>
      </c>
      <c r="M581" t="s">
        <v>149</v>
      </c>
      <c r="N581" t="s">
        <v>1281</v>
      </c>
      <c r="O581" t="s">
        <v>82</v>
      </c>
      <c r="P581" t="str">
        <f>"4170063021                    "</f>
        <v xml:space="preserve">4170063021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17.46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55.42</v>
      </c>
      <c r="BM581">
        <v>8.31</v>
      </c>
      <c r="BN581">
        <v>63.73</v>
      </c>
      <c r="BO581">
        <v>63.73</v>
      </c>
      <c r="BQ581" t="s">
        <v>1282</v>
      </c>
      <c r="BR581" t="s">
        <v>97</v>
      </c>
      <c r="BS581" s="3">
        <v>45937</v>
      </c>
      <c r="BT581" s="4">
        <v>0.40208333333333335</v>
      </c>
      <c r="BU581" t="s">
        <v>1283</v>
      </c>
      <c r="BV581" t="s">
        <v>86</v>
      </c>
      <c r="BY581">
        <v>1200</v>
      </c>
      <c r="CA581" t="s">
        <v>1284</v>
      </c>
      <c r="CC581" t="s">
        <v>149</v>
      </c>
      <c r="CD581">
        <v>2040</v>
      </c>
      <c r="CE581" t="s">
        <v>147</v>
      </c>
      <c r="CF581" s="3">
        <v>45937</v>
      </c>
      <c r="CI581">
        <v>1</v>
      </c>
      <c r="CJ581">
        <v>1</v>
      </c>
      <c r="CK581">
        <v>22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"080068344175"</f>
        <v>080068344175</v>
      </c>
      <c r="F582" s="3">
        <v>45936</v>
      </c>
      <c r="G582">
        <v>202607</v>
      </c>
      <c r="H582" t="s">
        <v>79</v>
      </c>
      <c r="I582" t="s">
        <v>80</v>
      </c>
      <c r="J582" t="s">
        <v>91</v>
      </c>
      <c r="K582" t="s">
        <v>78</v>
      </c>
      <c r="L582" t="s">
        <v>1208</v>
      </c>
      <c r="M582" t="s">
        <v>1209</v>
      </c>
      <c r="N582" t="s">
        <v>1210</v>
      </c>
      <c r="O582" t="s">
        <v>82</v>
      </c>
      <c r="P582" t="str">
        <f>"4170063092                    "</f>
        <v xml:space="preserve">4170063092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326.92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16.2</v>
      </c>
      <c r="BJ582">
        <v>8.4</v>
      </c>
      <c r="BK582">
        <v>16.5</v>
      </c>
      <c r="BL582">
        <v>1037.6199999999999</v>
      </c>
      <c r="BM582">
        <v>155.63999999999999</v>
      </c>
      <c r="BN582">
        <v>1193.26</v>
      </c>
      <c r="BO582">
        <v>1193.26</v>
      </c>
      <c r="BQ582" t="s">
        <v>1211</v>
      </c>
      <c r="BR582" t="s">
        <v>97</v>
      </c>
      <c r="BS582" s="3">
        <v>45937</v>
      </c>
      <c r="BT582" s="4">
        <v>0.68958333333333333</v>
      </c>
      <c r="BU582" t="s">
        <v>1212</v>
      </c>
      <c r="BV582" t="s">
        <v>86</v>
      </c>
      <c r="BY582">
        <v>41811.25</v>
      </c>
      <c r="CA582" t="s">
        <v>1213</v>
      </c>
      <c r="CC582" t="s">
        <v>1209</v>
      </c>
      <c r="CD582">
        <v>9880</v>
      </c>
      <c r="CE582" t="s">
        <v>191</v>
      </c>
      <c r="CF582" s="3">
        <v>45938</v>
      </c>
      <c r="CI582">
        <v>1</v>
      </c>
      <c r="CJ582">
        <v>1</v>
      </c>
      <c r="CK582">
        <v>23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"080068344180"</f>
        <v>080068344180</v>
      </c>
      <c r="F583" s="3">
        <v>45936</v>
      </c>
      <c r="G583">
        <v>202607</v>
      </c>
      <c r="H583" t="s">
        <v>79</v>
      </c>
      <c r="I583" t="s">
        <v>80</v>
      </c>
      <c r="J583" t="s">
        <v>91</v>
      </c>
      <c r="K583" t="s">
        <v>78</v>
      </c>
      <c r="L583" t="s">
        <v>108</v>
      </c>
      <c r="M583" t="s">
        <v>109</v>
      </c>
      <c r="N583" t="s">
        <v>751</v>
      </c>
      <c r="O583" t="s">
        <v>82</v>
      </c>
      <c r="P583" t="str">
        <f>"4170063117                    "</f>
        <v xml:space="preserve">4170063117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22.36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70.959999999999994</v>
      </c>
      <c r="BM583">
        <v>10.64</v>
      </c>
      <c r="BN583">
        <v>81.599999999999994</v>
      </c>
      <c r="BO583">
        <v>81.599999999999994</v>
      </c>
      <c r="BQ583" t="s">
        <v>752</v>
      </c>
      <c r="BR583" t="s">
        <v>97</v>
      </c>
      <c r="BS583" s="3">
        <v>45937</v>
      </c>
      <c r="BT583" s="4">
        <v>0.34375</v>
      </c>
      <c r="BU583" t="s">
        <v>1285</v>
      </c>
      <c r="BV583" t="s">
        <v>86</v>
      </c>
      <c r="BY583">
        <v>1200</v>
      </c>
      <c r="CA583" t="s">
        <v>1090</v>
      </c>
      <c r="CC583" t="s">
        <v>109</v>
      </c>
      <c r="CD583">
        <v>6001</v>
      </c>
      <c r="CE583" t="s">
        <v>147</v>
      </c>
      <c r="CF583" s="3">
        <v>45937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"080068344191"</f>
        <v>080068344191</v>
      </c>
      <c r="F584" s="3">
        <v>45936</v>
      </c>
      <c r="G584">
        <v>202607</v>
      </c>
      <c r="H584" t="s">
        <v>79</v>
      </c>
      <c r="I584" t="s">
        <v>80</v>
      </c>
      <c r="J584" t="s">
        <v>91</v>
      </c>
      <c r="K584" t="s">
        <v>78</v>
      </c>
      <c r="L584" t="s">
        <v>180</v>
      </c>
      <c r="M584" t="s">
        <v>181</v>
      </c>
      <c r="N584" t="s">
        <v>182</v>
      </c>
      <c r="O584" t="s">
        <v>82</v>
      </c>
      <c r="P584" t="str">
        <f>"4170063027                    "</f>
        <v xml:space="preserve">4170063027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43.31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137.47</v>
      </c>
      <c r="BM584">
        <v>20.62</v>
      </c>
      <c r="BN584">
        <v>158.09</v>
      </c>
      <c r="BO584">
        <v>158.09</v>
      </c>
      <c r="BQ584" t="s">
        <v>183</v>
      </c>
      <c r="BR584" t="s">
        <v>97</v>
      </c>
      <c r="BS584" s="3">
        <v>45938</v>
      </c>
      <c r="BT584" s="4">
        <v>0.48888888888888887</v>
      </c>
      <c r="BU584" t="s">
        <v>184</v>
      </c>
      <c r="BV584" t="s">
        <v>90</v>
      </c>
      <c r="BW584" t="s">
        <v>188</v>
      </c>
      <c r="BX584" t="s">
        <v>215</v>
      </c>
      <c r="BY584">
        <v>1200</v>
      </c>
      <c r="CC584" t="s">
        <v>181</v>
      </c>
      <c r="CD584">
        <v>1028</v>
      </c>
      <c r="CE584" t="s">
        <v>147</v>
      </c>
      <c r="CF584" s="3">
        <v>45938</v>
      </c>
      <c r="CI584">
        <v>1</v>
      </c>
      <c r="CJ584">
        <v>2</v>
      </c>
      <c r="CK584">
        <v>23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"080068344201"</f>
        <v>080068344201</v>
      </c>
      <c r="F585" s="3">
        <v>45936</v>
      </c>
      <c r="G585">
        <v>202607</v>
      </c>
      <c r="H585" t="s">
        <v>79</v>
      </c>
      <c r="I585" t="s">
        <v>80</v>
      </c>
      <c r="J585" t="s">
        <v>91</v>
      </c>
      <c r="K585" t="s">
        <v>78</v>
      </c>
      <c r="L585" t="s">
        <v>79</v>
      </c>
      <c r="M585" t="s">
        <v>80</v>
      </c>
      <c r="N585" t="s">
        <v>357</v>
      </c>
      <c r="O585" t="s">
        <v>82</v>
      </c>
      <c r="P585" t="str">
        <f>"4170062969                    "</f>
        <v xml:space="preserve">4170062969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17.46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1.1000000000000001</v>
      </c>
      <c r="BK585">
        <v>2</v>
      </c>
      <c r="BL585">
        <v>55.42</v>
      </c>
      <c r="BM585">
        <v>8.31</v>
      </c>
      <c r="BN585">
        <v>63.73</v>
      </c>
      <c r="BO585">
        <v>63.73</v>
      </c>
      <c r="BQ585" t="s">
        <v>358</v>
      </c>
      <c r="BR585" t="s">
        <v>97</v>
      </c>
      <c r="BS585" s="3">
        <v>45937</v>
      </c>
      <c r="BT585" s="4">
        <v>0.41249999999999998</v>
      </c>
      <c r="BU585" t="s">
        <v>1160</v>
      </c>
      <c r="BV585" t="s">
        <v>86</v>
      </c>
      <c r="BY585">
        <v>5510</v>
      </c>
      <c r="CA585" t="s">
        <v>360</v>
      </c>
      <c r="CC585" t="s">
        <v>80</v>
      </c>
      <c r="CD585">
        <v>1645</v>
      </c>
      <c r="CE585" t="s">
        <v>191</v>
      </c>
      <c r="CF585" s="3">
        <v>45938</v>
      </c>
      <c r="CI585">
        <v>1</v>
      </c>
      <c r="CJ585">
        <v>1</v>
      </c>
      <c r="CK585">
        <v>22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"080068344206"</f>
        <v>080068344206</v>
      </c>
      <c r="F586" s="3">
        <v>45936</v>
      </c>
      <c r="G586">
        <v>202607</v>
      </c>
      <c r="H586" t="s">
        <v>79</v>
      </c>
      <c r="I586" t="s">
        <v>80</v>
      </c>
      <c r="J586" t="s">
        <v>91</v>
      </c>
      <c r="K586" t="s">
        <v>78</v>
      </c>
      <c r="L586" t="s">
        <v>265</v>
      </c>
      <c r="M586" t="s">
        <v>266</v>
      </c>
      <c r="N586" t="s">
        <v>536</v>
      </c>
      <c r="O586" t="s">
        <v>82</v>
      </c>
      <c r="P586" t="str">
        <f>"4170063073                    "</f>
        <v xml:space="preserve">4170063073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22.36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70.959999999999994</v>
      </c>
      <c r="BM586">
        <v>10.64</v>
      </c>
      <c r="BN586">
        <v>81.599999999999994</v>
      </c>
      <c r="BO586">
        <v>81.599999999999994</v>
      </c>
      <c r="BQ586" t="s">
        <v>537</v>
      </c>
      <c r="BR586" t="s">
        <v>97</v>
      </c>
      <c r="BS586" s="3">
        <v>45937</v>
      </c>
      <c r="BT586" s="4">
        <v>0.33402777777777776</v>
      </c>
      <c r="BU586" t="s">
        <v>258</v>
      </c>
      <c r="BV586" t="s">
        <v>86</v>
      </c>
      <c r="BY586">
        <v>1200</v>
      </c>
      <c r="CA586" t="s">
        <v>818</v>
      </c>
      <c r="CC586" t="s">
        <v>266</v>
      </c>
      <c r="CD586">
        <v>6230</v>
      </c>
      <c r="CE586" t="s">
        <v>147</v>
      </c>
      <c r="CF586" s="3">
        <v>45937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"080068344220"</f>
        <v>080068344220</v>
      </c>
      <c r="F587" s="3">
        <v>45936</v>
      </c>
      <c r="G587">
        <v>202607</v>
      </c>
      <c r="H587" t="s">
        <v>79</v>
      </c>
      <c r="I587" t="s">
        <v>80</v>
      </c>
      <c r="J587" t="s">
        <v>91</v>
      </c>
      <c r="K587" t="s">
        <v>78</v>
      </c>
      <c r="L587" t="s">
        <v>206</v>
      </c>
      <c r="M587" t="s">
        <v>207</v>
      </c>
      <c r="N587" t="s">
        <v>1286</v>
      </c>
      <c r="O587" t="s">
        <v>82</v>
      </c>
      <c r="P587" t="str">
        <f>"4170063118                    "</f>
        <v xml:space="preserve">4170063118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22.36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70.959999999999994</v>
      </c>
      <c r="BM587">
        <v>10.64</v>
      </c>
      <c r="BN587">
        <v>81.599999999999994</v>
      </c>
      <c r="BO587">
        <v>81.599999999999994</v>
      </c>
      <c r="BQ587" t="s">
        <v>1287</v>
      </c>
      <c r="BR587" t="s">
        <v>97</v>
      </c>
      <c r="BS587" s="3">
        <v>45937</v>
      </c>
      <c r="BT587" s="4">
        <v>0.53749999999999998</v>
      </c>
      <c r="BU587" t="s">
        <v>1288</v>
      </c>
      <c r="BV587" t="s">
        <v>90</v>
      </c>
      <c r="BW587" t="s">
        <v>347</v>
      </c>
      <c r="BX587" t="s">
        <v>1038</v>
      </c>
      <c r="BY587">
        <v>1200</v>
      </c>
      <c r="CC587" t="s">
        <v>207</v>
      </c>
      <c r="CD587">
        <v>7530</v>
      </c>
      <c r="CE587" t="s">
        <v>147</v>
      </c>
      <c r="CF587" s="3">
        <v>45938</v>
      </c>
      <c r="CI587">
        <v>1</v>
      </c>
      <c r="CJ587">
        <v>1</v>
      </c>
      <c r="CK587">
        <v>21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"080068344230"</f>
        <v>080068344230</v>
      </c>
      <c r="F588" s="3">
        <v>45936</v>
      </c>
      <c r="G588">
        <v>202607</v>
      </c>
      <c r="H588" t="s">
        <v>79</v>
      </c>
      <c r="I588" t="s">
        <v>80</v>
      </c>
      <c r="J588" t="s">
        <v>91</v>
      </c>
      <c r="K588" t="s">
        <v>78</v>
      </c>
      <c r="L588" t="s">
        <v>108</v>
      </c>
      <c r="M588" t="s">
        <v>109</v>
      </c>
      <c r="N588" t="s">
        <v>515</v>
      </c>
      <c r="O588" t="s">
        <v>82</v>
      </c>
      <c r="P588" t="str">
        <f>"4170063134                    "</f>
        <v xml:space="preserve">4170063134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22.36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2</v>
      </c>
      <c r="BJ588">
        <v>1.1000000000000001</v>
      </c>
      <c r="BK588">
        <v>2</v>
      </c>
      <c r="BL588">
        <v>70.959999999999994</v>
      </c>
      <c r="BM588">
        <v>10.64</v>
      </c>
      <c r="BN588">
        <v>81.599999999999994</v>
      </c>
      <c r="BO588">
        <v>81.599999999999994</v>
      </c>
      <c r="BQ588" t="s">
        <v>516</v>
      </c>
      <c r="BR588" t="s">
        <v>97</v>
      </c>
      <c r="BS588" s="3">
        <v>45937</v>
      </c>
      <c r="BT588" s="4">
        <v>0.42222222222222222</v>
      </c>
      <c r="BU588" t="s">
        <v>1289</v>
      </c>
      <c r="BV588" t="s">
        <v>86</v>
      </c>
      <c r="BY588">
        <v>5510</v>
      </c>
      <c r="CA588" t="s">
        <v>1137</v>
      </c>
      <c r="CC588" t="s">
        <v>109</v>
      </c>
      <c r="CD588">
        <v>6001</v>
      </c>
      <c r="CE588" t="s">
        <v>191</v>
      </c>
      <c r="CF588" s="3">
        <v>45937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"080068344243"</f>
        <v>080068344243</v>
      </c>
      <c r="F589" s="3">
        <v>45936</v>
      </c>
      <c r="G589">
        <v>202607</v>
      </c>
      <c r="H589" t="s">
        <v>79</v>
      </c>
      <c r="I589" t="s">
        <v>80</v>
      </c>
      <c r="J589" t="s">
        <v>91</v>
      </c>
      <c r="K589" t="s">
        <v>78</v>
      </c>
      <c r="L589" t="s">
        <v>168</v>
      </c>
      <c r="M589" t="s">
        <v>169</v>
      </c>
      <c r="N589" t="s">
        <v>923</v>
      </c>
      <c r="O589" t="s">
        <v>82</v>
      </c>
      <c r="P589" t="str">
        <f>"4170062977                    "</f>
        <v xml:space="preserve">4170062977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22.36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70.959999999999994</v>
      </c>
      <c r="BM589">
        <v>10.64</v>
      </c>
      <c r="BN589">
        <v>81.599999999999994</v>
      </c>
      <c r="BO589">
        <v>81.599999999999994</v>
      </c>
      <c r="BQ589" t="s">
        <v>924</v>
      </c>
      <c r="BR589" t="s">
        <v>97</v>
      </c>
      <c r="BS589" s="3">
        <v>45937</v>
      </c>
      <c r="BT589" s="4">
        <v>0.34027777777777779</v>
      </c>
      <c r="BU589" t="s">
        <v>925</v>
      </c>
      <c r="BV589" t="s">
        <v>86</v>
      </c>
      <c r="BY589">
        <v>1200</v>
      </c>
      <c r="CC589" t="s">
        <v>169</v>
      </c>
      <c r="CD589" s="5" t="s">
        <v>926</v>
      </c>
      <c r="CE589" t="s">
        <v>147</v>
      </c>
      <c r="CF589" s="3">
        <v>45937</v>
      </c>
      <c r="CI589">
        <v>1</v>
      </c>
      <c r="CJ589">
        <v>1</v>
      </c>
      <c r="CK589">
        <v>21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"080068344279"</f>
        <v>080068344279</v>
      </c>
      <c r="F590" s="3">
        <v>45936</v>
      </c>
      <c r="G590">
        <v>202607</v>
      </c>
      <c r="H590" t="s">
        <v>79</v>
      </c>
      <c r="I590" t="s">
        <v>80</v>
      </c>
      <c r="J590" t="s">
        <v>91</v>
      </c>
      <c r="K590" t="s">
        <v>78</v>
      </c>
      <c r="L590" t="s">
        <v>453</v>
      </c>
      <c r="M590" t="s">
        <v>454</v>
      </c>
      <c r="N590" t="s">
        <v>1290</v>
      </c>
      <c r="O590" t="s">
        <v>82</v>
      </c>
      <c r="P590" t="str">
        <f>"4170062974                    "</f>
        <v xml:space="preserve">4170062974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22.36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0.6</v>
      </c>
      <c r="BK590">
        <v>1</v>
      </c>
      <c r="BL590">
        <v>70.959999999999994</v>
      </c>
      <c r="BM590">
        <v>10.64</v>
      </c>
      <c r="BN590">
        <v>81.599999999999994</v>
      </c>
      <c r="BO590">
        <v>81.599999999999994</v>
      </c>
      <c r="BQ590" t="s">
        <v>1291</v>
      </c>
      <c r="BR590" t="s">
        <v>97</v>
      </c>
      <c r="BS590" s="3">
        <v>45937</v>
      </c>
      <c r="BT590" s="4">
        <v>0.62222222222222223</v>
      </c>
      <c r="BU590" t="s">
        <v>1292</v>
      </c>
      <c r="BV590" t="s">
        <v>90</v>
      </c>
      <c r="BW590" t="s">
        <v>136</v>
      </c>
      <c r="BX590" t="s">
        <v>858</v>
      </c>
      <c r="BY590">
        <v>3192</v>
      </c>
      <c r="CA590" t="s">
        <v>742</v>
      </c>
      <c r="CC590" t="s">
        <v>454</v>
      </c>
      <c r="CD590">
        <v>3610</v>
      </c>
      <c r="CE590" t="s">
        <v>191</v>
      </c>
      <c r="CF590" s="3">
        <v>45938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"080068347907"</f>
        <v>080068347907</v>
      </c>
      <c r="F591" s="3">
        <v>45936</v>
      </c>
      <c r="G591">
        <v>202607</v>
      </c>
      <c r="H591" t="s">
        <v>79</v>
      </c>
      <c r="I591" t="s">
        <v>80</v>
      </c>
      <c r="J591" t="s">
        <v>91</v>
      </c>
      <c r="K591" t="s">
        <v>78</v>
      </c>
      <c r="L591" t="s">
        <v>114</v>
      </c>
      <c r="M591" t="s">
        <v>115</v>
      </c>
      <c r="N591" t="s">
        <v>881</v>
      </c>
      <c r="O591" t="s">
        <v>82</v>
      </c>
      <c r="P591" t="str">
        <f>"4170063023                    "</f>
        <v xml:space="preserve">4170063023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111.71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10</v>
      </c>
      <c r="BJ591">
        <v>3.4</v>
      </c>
      <c r="BK591">
        <v>10</v>
      </c>
      <c r="BL591">
        <v>354.55</v>
      </c>
      <c r="BM591">
        <v>53.18</v>
      </c>
      <c r="BN591">
        <v>407.73</v>
      </c>
      <c r="BO591">
        <v>407.73</v>
      </c>
      <c r="BQ591" t="s">
        <v>882</v>
      </c>
      <c r="BR591" t="s">
        <v>97</v>
      </c>
      <c r="BS591" s="3">
        <v>45937</v>
      </c>
      <c r="BT591" s="4">
        <v>0.52430555555555558</v>
      </c>
      <c r="BU591" t="s">
        <v>1293</v>
      </c>
      <c r="BV591" t="s">
        <v>90</v>
      </c>
      <c r="BY591">
        <v>16965</v>
      </c>
      <c r="CA591" t="s">
        <v>749</v>
      </c>
      <c r="CC591" t="s">
        <v>115</v>
      </c>
      <c r="CD591">
        <v>5201</v>
      </c>
      <c r="CE591" t="s">
        <v>191</v>
      </c>
      <c r="CF591" s="3">
        <v>45937</v>
      </c>
      <c r="CI591">
        <v>1</v>
      </c>
      <c r="CJ591">
        <v>1</v>
      </c>
      <c r="CK591">
        <v>21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"080068344356"</f>
        <v>080068344356</v>
      </c>
      <c r="F592" s="3">
        <v>45936</v>
      </c>
      <c r="G592">
        <v>202607</v>
      </c>
      <c r="H592" t="s">
        <v>79</v>
      </c>
      <c r="I592" t="s">
        <v>80</v>
      </c>
      <c r="J592" t="s">
        <v>91</v>
      </c>
      <c r="K592" t="s">
        <v>78</v>
      </c>
      <c r="L592" t="s">
        <v>322</v>
      </c>
      <c r="M592" t="s">
        <v>322</v>
      </c>
      <c r="N592" t="s">
        <v>483</v>
      </c>
      <c r="O592" t="s">
        <v>95</v>
      </c>
      <c r="P592" t="str">
        <f>"4170062963                    "</f>
        <v xml:space="preserve">4170062963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126.37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17</v>
      </c>
      <c r="BJ592">
        <v>35.9</v>
      </c>
      <c r="BK592">
        <v>36</v>
      </c>
      <c r="BL592">
        <v>406.96</v>
      </c>
      <c r="BM592">
        <v>61.04</v>
      </c>
      <c r="BN592">
        <v>468</v>
      </c>
      <c r="BO592">
        <v>468</v>
      </c>
      <c r="BQ592" t="s">
        <v>486</v>
      </c>
      <c r="BR592" t="s">
        <v>97</v>
      </c>
      <c r="BS592" s="3">
        <v>45938</v>
      </c>
      <c r="BT592" s="4">
        <v>0.54027777777777775</v>
      </c>
      <c r="BU592" t="s">
        <v>485</v>
      </c>
      <c r="BV592" t="s">
        <v>86</v>
      </c>
      <c r="BY592">
        <v>179400</v>
      </c>
      <c r="CA592" t="s">
        <v>326</v>
      </c>
      <c r="CC592" t="s">
        <v>322</v>
      </c>
      <c r="CD592">
        <v>7646</v>
      </c>
      <c r="CE592" t="s">
        <v>191</v>
      </c>
      <c r="CF592" s="3">
        <v>45939</v>
      </c>
      <c r="CI592">
        <v>3</v>
      </c>
      <c r="CJ592">
        <v>2</v>
      </c>
      <c r="CK592">
        <v>43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"080068344605"</f>
        <v>080068344605</v>
      </c>
      <c r="F593" s="3">
        <v>45936</v>
      </c>
      <c r="G593">
        <v>202607</v>
      </c>
      <c r="H593" t="s">
        <v>79</v>
      </c>
      <c r="I593" t="s">
        <v>80</v>
      </c>
      <c r="J593" t="s">
        <v>91</v>
      </c>
      <c r="K593" t="s">
        <v>78</v>
      </c>
      <c r="L593" t="s">
        <v>788</v>
      </c>
      <c r="M593" t="s">
        <v>789</v>
      </c>
      <c r="N593" t="s">
        <v>1294</v>
      </c>
      <c r="O593" t="s">
        <v>82</v>
      </c>
      <c r="P593" t="str">
        <f>"4170063131                    "</f>
        <v xml:space="preserve">4170063131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43.31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0.6</v>
      </c>
      <c r="BK593">
        <v>1</v>
      </c>
      <c r="BL593">
        <v>137.47</v>
      </c>
      <c r="BM593">
        <v>20.62</v>
      </c>
      <c r="BN593">
        <v>158.09</v>
      </c>
      <c r="BO593">
        <v>158.09</v>
      </c>
      <c r="BQ593" t="s">
        <v>1295</v>
      </c>
      <c r="BR593" t="s">
        <v>97</v>
      </c>
      <c r="BS593" s="3">
        <v>45937</v>
      </c>
      <c r="BT593" s="4">
        <v>0.625</v>
      </c>
      <c r="BU593" t="s">
        <v>1296</v>
      </c>
      <c r="BV593" t="s">
        <v>86</v>
      </c>
      <c r="BY593">
        <v>3192</v>
      </c>
      <c r="CA593" t="s">
        <v>793</v>
      </c>
      <c r="CC593" t="s">
        <v>789</v>
      </c>
      <c r="CD593">
        <v>3280</v>
      </c>
      <c r="CE593" t="s">
        <v>191</v>
      </c>
      <c r="CF593" s="3">
        <v>45938</v>
      </c>
      <c r="CI593">
        <v>1</v>
      </c>
      <c r="CJ593">
        <v>1</v>
      </c>
      <c r="CK593">
        <v>23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"080068344648"</f>
        <v>080068344648</v>
      </c>
      <c r="F594" s="3">
        <v>45936</v>
      </c>
      <c r="G594">
        <v>202607</v>
      </c>
      <c r="H594" t="s">
        <v>79</v>
      </c>
      <c r="I594" t="s">
        <v>80</v>
      </c>
      <c r="J594" t="s">
        <v>91</v>
      </c>
      <c r="K594" t="s">
        <v>78</v>
      </c>
      <c r="L594" t="s">
        <v>322</v>
      </c>
      <c r="M594" t="s">
        <v>322</v>
      </c>
      <c r="N594" t="s">
        <v>376</v>
      </c>
      <c r="O594" t="s">
        <v>82</v>
      </c>
      <c r="P594" t="str">
        <f>"4170062952                    "</f>
        <v xml:space="preserve">4170062952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43.31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137.47</v>
      </c>
      <c r="BM594">
        <v>20.62</v>
      </c>
      <c r="BN594">
        <v>158.09</v>
      </c>
      <c r="BO594">
        <v>158.09</v>
      </c>
      <c r="BQ594" t="s">
        <v>377</v>
      </c>
      <c r="BR594" t="s">
        <v>97</v>
      </c>
      <c r="BS594" s="3">
        <v>45937</v>
      </c>
      <c r="BT594" s="4">
        <v>0.53541666666666665</v>
      </c>
      <c r="BU594" t="s">
        <v>378</v>
      </c>
      <c r="BV594" t="s">
        <v>86</v>
      </c>
      <c r="BY594">
        <v>1200</v>
      </c>
      <c r="CA594" t="s">
        <v>326</v>
      </c>
      <c r="CC594" t="s">
        <v>322</v>
      </c>
      <c r="CD594">
        <v>7646</v>
      </c>
      <c r="CE594" t="s">
        <v>147</v>
      </c>
      <c r="CF594" s="3">
        <v>45938</v>
      </c>
      <c r="CI594">
        <v>1</v>
      </c>
      <c r="CJ594">
        <v>1</v>
      </c>
      <c r="CK594">
        <v>23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"080068344660"</f>
        <v>080068344660</v>
      </c>
      <c r="F595" s="3">
        <v>45936</v>
      </c>
      <c r="G595">
        <v>202607</v>
      </c>
      <c r="H595" t="s">
        <v>79</v>
      </c>
      <c r="I595" t="s">
        <v>80</v>
      </c>
      <c r="J595" t="s">
        <v>91</v>
      </c>
      <c r="K595" t="s">
        <v>78</v>
      </c>
      <c r="L595" t="s">
        <v>809</v>
      </c>
      <c r="M595" t="s">
        <v>810</v>
      </c>
      <c r="N595" t="s">
        <v>1297</v>
      </c>
      <c r="O595" t="s">
        <v>82</v>
      </c>
      <c r="P595" t="str">
        <f>"4170062980                    "</f>
        <v xml:space="preserve">4170062980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17.46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1.1000000000000001</v>
      </c>
      <c r="BK595">
        <v>2</v>
      </c>
      <c r="BL595">
        <v>55.42</v>
      </c>
      <c r="BM595">
        <v>8.31</v>
      </c>
      <c r="BN595">
        <v>63.73</v>
      </c>
      <c r="BO595">
        <v>63.73</v>
      </c>
      <c r="BQ595" t="s">
        <v>1298</v>
      </c>
      <c r="BR595" t="s">
        <v>97</v>
      </c>
      <c r="BS595" s="3">
        <v>45937</v>
      </c>
      <c r="BT595" s="4">
        <v>0.36805555555555558</v>
      </c>
      <c r="BU595" t="s">
        <v>1299</v>
      </c>
      <c r="BV595" t="s">
        <v>86</v>
      </c>
      <c r="BY595">
        <v>5510</v>
      </c>
      <c r="CA595" t="s">
        <v>1300</v>
      </c>
      <c r="CC595" t="s">
        <v>810</v>
      </c>
      <c r="CD595">
        <v>1724</v>
      </c>
      <c r="CE595" t="s">
        <v>191</v>
      </c>
      <c r="CF595" s="3">
        <v>45937</v>
      </c>
      <c r="CI595">
        <v>1</v>
      </c>
      <c r="CJ595">
        <v>1</v>
      </c>
      <c r="CK595">
        <v>22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"080068344672"</f>
        <v>080068344672</v>
      </c>
      <c r="F596" s="3">
        <v>45936</v>
      </c>
      <c r="G596">
        <v>202607</v>
      </c>
      <c r="H596" t="s">
        <v>79</v>
      </c>
      <c r="I596" t="s">
        <v>80</v>
      </c>
      <c r="J596" t="s">
        <v>91</v>
      </c>
      <c r="K596" t="s">
        <v>78</v>
      </c>
      <c r="L596" t="s">
        <v>322</v>
      </c>
      <c r="M596" t="s">
        <v>322</v>
      </c>
      <c r="N596" t="s">
        <v>1267</v>
      </c>
      <c r="O596" t="s">
        <v>82</v>
      </c>
      <c r="P596" t="str">
        <f>"4170063129                    "</f>
        <v xml:space="preserve">4170063129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43.31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137.47</v>
      </c>
      <c r="BM596">
        <v>20.62</v>
      </c>
      <c r="BN596">
        <v>158.09</v>
      </c>
      <c r="BO596">
        <v>158.09</v>
      </c>
      <c r="BQ596" t="s">
        <v>1268</v>
      </c>
      <c r="BR596" t="s">
        <v>97</v>
      </c>
      <c r="BS596" s="3">
        <v>45937</v>
      </c>
      <c r="BT596" s="4">
        <v>0.45</v>
      </c>
      <c r="BU596" t="s">
        <v>1269</v>
      </c>
      <c r="BV596" t="s">
        <v>86</v>
      </c>
      <c r="BY596">
        <v>1200</v>
      </c>
      <c r="CA596" t="s">
        <v>1270</v>
      </c>
      <c r="CC596" t="s">
        <v>322</v>
      </c>
      <c r="CD596">
        <v>7655</v>
      </c>
      <c r="CE596" t="s">
        <v>147</v>
      </c>
      <c r="CF596" s="3">
        <v>45938</v>
      </c>
      <c r="CI596">
        <v>1</v>
      </c>
      <c r="CJ596">
        <v>1</v>
      </c>
      <c r="CK596">
        <v>23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"080068344692"</f>
        <v>080068344692</v>
      </c>
      <c r="F597" s="3">
        <v>45936</v>
      </c>
      <c r="G597">
        <v>202607</v>
      </c>
      <c r="H597" t="s">
        <v>79</v>
      </c>
      <c r="I597" t="s">
        <v>80</v>
      </c>
      <c r="J597" t="s">
        <v>91</v>
      </c>
      <c r="K597" t="s">
        <v>78</v>
      </c>
      <c r="L597" t="s">
        <v>168</v>
      </c>
      <c r="M597" t="s">
        <v>169</v>
      </c>
      <c r="N597" t="s">
        <v>584</v>
      </c>
      <c r="O597" t="s">
        <v>82</v>
      </c>
      <c r="P597" t="str">
        <f>"4170063101                    "</f>
        <v xml:space="preserve">4170063101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22.36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70.959999999999994</v>
      </c>
      <c r="BM597">
        <v>10.64</v>
      </c>
      <c r="BN597">
        <v>81.599999999999994</v>
      </c>
      <c r="BO597">
        <v>81.599999999999994</v>
      </c>
      <c r="BQ597" t="s">
        <v>585</v>
      </c>
      <c r="BR597" t="s">
        <v>97</v>
      </c>
      <c r="BS597" s="3">
        <v>45937</v>
      </c>
      <c r="BT597" s="4">
        <v>0.4284722222222222</v>
      </c>
      <c r="BU597" t="s">
        <v>1159</v>
      </c>
      <c r="BV597" t="s">
        <v>86</v>
      </c>
      <c r="BY597">
        <v>1200</v>
      </c>
      <c r="CC597" t="s">
        <v>169</v>
      </c>
      <c r="CD597" s="5" t="s">
        <v>190</v>
      </c>
      <c r="CE597" t="s">
        <v>147</v>
      </c>
      <c r="CF597" s="3">
        <v>45937</v>
      </c>
      <c r="CI597">
        <v>1</v>
      </c>
      <c r="CJ597">
        <v>1</v>
      </c>
      <c r="CK597">
        <v>21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"080068344694"</f>
        <v>080068344694</v>
      </c>
      <c r="F598" s="3">
        <v>45936</v>
      </c>
      <c r="G598">
        <v>202607</v>
      </c>
      <c r="H598" t="s">
        <v>79</v>
      </c>
      <c r="I598" t="s">
        <v>80</v>
      </c>
      <c r="J598" t="s">
        <v>91</v>
      </c>
      <c r="K598" t="s">
        <v>78</v>
      </c>
      <c r="L598" t="s">
        <v>79</v>
      </c>
      <c r="M598" t="s">
        <v>80</v>
      </c>
      <c r="N598" t="s">
        <v>416</v>
      </c>
      <c r="O598" t="s">
        <v>82</v>
      </c>
      <c r="P598" t="str">
        <f>"4170063100                    "</f>
        <v xml:space="preserve">4170063100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17.46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1.8</v>
      </c>
      <c r="BK598">
        <v>2</v>
      </c>
      <c r="BL598">
        <v>55.42</v>
      </c>
      <c r="BM598">
        <v>8.31</v>
      </c>
      <c r="BN598">
        <v>63.73</v>
      </c>
      <c r="BO598">
        <v>63.73</v>
      </c>
      <c r="BQ598" t="s">
        <v>417</v>
      </c>
      <c r="BR598" t="s">
        <v>97</v>
      </c>
      <c r="BS598" s="3">
        <v>45937</v>
      </c>
      <c r="BT598" s="4">
        <v>0.31944444444444442</v>
      </c>
      <c r="BU598" t="s">
        <v>418</v>
      </c>
      <c r="BV598" t="s">
        <v>86</v>
      </c>
      <c r="BY598">
        <v>9120</v>
      </c>
      <c r="CA598" t="s">
        <v>419</v>
      </c>
      <c r="CC598" t="s">
        <v>80</v>
      </c>
      <c r="CD598">
        <v>1666</v>
      </c>
      <c r="CE598" t="s">
        <v>191</v>
      </c>
      <c r="CF598" s="3">
        <v>45938</v>
      </c>
      <c r="CI598">
        <v>1</v>
      </c>
      <c r="CJ598">
        <v>1</v>
      </c>
      <c r="CK598">
        <v>22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"080068344707"</f>
        <v>080068344707</v>
      </c>
      <c r="F599" s="3">
        <v>45936</v>
      </c>
      <c r="G599">
        <v>202607</v>
      </c>
      <c r="H599" t="s">
        <v>79</v>
      </c>
      <c r="I599" t="s">
        <v>80</v>
      </c>
      <c r="J599" t="s">
        <v>91</v>
      </c>
      <c r="K599" t="s">
        <v>78</v>
      </c>
      <c r="L599" t="s">
        <v>1208</v>
      </c>
      <c r="M599" t="s">
        <v>1209</v>
      </c>
      <c r="N599" t="s">
        <v>1210</v>
      </c>
      <c r="O599" t="s">
        <v>82</v>
      </c>
      <c r="P599" t="str">
        <f>"4170063140                    "</f>
        <v xml:space="preserve">4170063140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43.31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137.47</v>
      </c>
      <c r="BM599">
        <v>20.62</v>
      </c>
      <c r="BN599">
        <v>158.09</v>
      </c>
      <c r="BO599">
        <v>158.09</v>
      </c>
      <c r="BQ599" t="s">
        <v>1211</v>
      </c>
      <c r="BR599" t="s">
        <v>97</v>
      </c>
      <c r="BS599" s="3">
        <v>45937</v>
      </c>
      <c r="BT599" s="4">
        <v>0.68958333333333333</v>
      </c>
      <c r="BU599" t="s">
        <v>1212</v>
      </c>
      <c r="BV599" t="s">
        <v>86</v>
      </c>
      <c r="BY599">
        <v>1200</v>
      </c>
      <c r="CA599" t="s">
        <v>1213</v>
      </c>
      <c r="CC599" t="s">
        <v>1209</v>
      </c>
      <c r="CD599">
        <v>9880</v>
      </c>
      <c r="CE599" t="s">
        <v>147</v>
      </c>
      <c r="CF599" s="3">
        <v>45938</v>
      </c>
      <c r="CI599">
        <v>1</v>
      </c>
      <c r="CJ599">
        <v>1</v>
      </c>
      <c r="CK599">
        <v>23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"080068344739"</f>
        <v>080068344739</v>
      </c>
      <c r="F600" s="3">
        <v>45936</v>
      </c>
      <c r="G600">
        <v>202607</v>
      </c>
      <c r="H600" t="s">
        <v>79</v>
      </c>
      <c r="I600" t="s">
        <v>80</v>
      </c>
      <c r="J600" t="s">
        <v>91</v>
      </c>
      <c r="K600" t="s">
        <v>78</v>
      </c>
      <c r="L600" t="s">
        <v>108</v>
      </c>
      <c r="M600" t="s">
        <v>109</v>
      </c>
      <c r="N600" t="s">
        <v>1154</v>
      </c>
      <c r="O600" t="s">
        <v>82</v>
      </c>
      <c r="P600" t="str">
        <f>"4170063063                    "</f>
        <v xml:space="preserve">4170063063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39.11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3.4</v>
      </c>
      <c r="BK600">
        <v>3.5</v>
      </c>
      <c r="BL600">
        <v>124.13</v>
      </c>
      <c r="BM600">
        <v>18.62</v>
      </c>
      <c r="BN600">
        <v>142.75</v>
      </c>
      <c r="BO600">
        <v>142.75</v>
      </c>
      <c r="BQ600" t="s">
        <v>1155</v>
      </c>
      <c r="BR600" t="s">
        <v>97</v>
      </c>
      <c r="BS600" s="3">
        <v>45937</v>
      </c>
      <c r="BT600" s="4">
        <v>0.43541666666666667</v>
      </c>
      <c r="BU600" t="s">
        <v>1156</v>
      </c>
      <c r="BV600" t="s">
        <v>86</v>
      </c>
      <c r="BY600">
        <v>16965</v>
      </c>
      <c r="CA600" t="s">
        <v>294</v>
      </c>
      <c r="CC600" t="s">
        <v>109</v>
      </c>
      <c r="CD600">
        <v>6070</v>
      </c>
      <c r="CE600" t="s">
        <v>191</v>
      </c>
      <c r="CF600" s="3">
        <v>45937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"080068344744"</f>
        <v>080068344744</v>
      </c>
      <c r="F601" s="3">
        <v>45936</v>
      </c>
      <c r="G601">
        <v>202607</v>
      </c>
      <c r="H601" t="s">
        <v>79</v>
      </c>
      <c r="I601" t="s">
        <v>80</v>
      </c>
      <c r="J601" t="s">
        <v>91</v>
      </c>
      <c r="K601" t="s">
        <v>78</v>
      </c>
      <c r="L601" t="s">
        <v>668</v>
      </c>
      <c r="M601" t="s">
        <v>669</v>
      </c>
      <c r="N601" t="s">
        <v>614</v>
      </c>
      <c r="O601" t="s">
        <v>82</v>
      </c>
      <c r="P601" t="str">
        <f>"4170063094                    "</f>
        <v xml:space="preserve">4170063094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17.46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55.42</v>
      </c>
      <c r="BM601">
        <v>8.31</v>
      </c>
      <c r="BN601">
        <v>63.73</v>
      </c>
      <c r="BO601">
        <v>63.73</v>
      </c>
      <c r="BQ601" t="s">
        <v>615</v>
      </c>
      <c r="BR601" t="s">
        <v>97</v>
      </c>
      <c r="BS601" s="3">
        <v>45937</v>
      </c>
      <c r="BT601" s="4">
        <v>0.36736111111111114</v>
      </c>
      <c r="BU601" t="s">
        <v>1301</v>
      </c>
      <c r="BV601" t="s">
        <v>86</v>
      </c>
      <c r="BY601">
        <v>1200</v>
      </c>
      <c r="CA601" t="s">
        <v>508</v>
      </c>
      <c r="CC601" t="s">
        <v>669</v>
      </c>
      <c r="CD601">
        <v>1508</v>
      </c>
      <c r="CE601" t="s">
        <v>147</v>
      </c>
      <c r="CF601" s="3">
        <v>45937</v>
      </c>
      <c r="CI601">
        <v>1</v>
      </c>
      <c r="CJ601">
        <v>1</v>
      </c>
      <c r="CK601">
        <v>22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"080068344773"</f>
        <v>080068344773</v>
      </c>
      <c r="F602" s="3">
        <v>45936</v>
      </c>
      <c r="G602">
        <v>202607</v>
      </c>
      <c r="H602" t="s">
        <v>79</v>
      </c>
      <c r="I602" t="s">
        <v>80</v>
      </c>
      <c r="J602" t="s">
        <v>91</v>
      </c>
      <c r="K602" t="s">
        <v>78</v>
      </c>
      <c r="L602" t="s">
        <v>108</v>
      </c>
      <c r="M602" t="s">
        <v>109</v>
      </c>
      <c r="N602" t="s">
        <v>515</v>
      </c>
      <c r="O602" t="s">
        <v>82</v>
      </c>
      <c r="P602" t="str">
        <f>"4170063124                    "</f>
        <v xml:space="preserve">4170063124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22.36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70.959999999999994</v>
      </c>
      <c r="BM602">
        <v>10.64</v>
      </c>
      <c r="BN602">
        <v>81.599999999999994</v>
      </c>
      <c r="BO602">
        <v>81.599999999999994</v>
      </c>
      <c r="BQ602" t="s">
        <v>516</v>
      </c>
      <c r="BR602" t="s">
        <v>97</v>
      </c>
      <c r="BS602" s="3">
        <v>45937</v>
      </c>
      <c r="BT602" s="4">
        <v>0.42222222222222222</v>
      </c>
      <c r="BU602" t="s">
        <v>1289</v>
      </c>
      <c r="BV602" t="s">
        <v>86</v>
      </c>
      <c r="BY602">
        <v>1200</v>
      </c>
      <c r="CA602" t="s">
        <v>1137</v>
      </c>
      <c r="CC602" t="s">
        <v>109</v>
      </c>
      <c r="CD602">
        <v>6001</v>
      </c>
      <c r="CE602" t="s">
        <v>147</v>
      </c>
      <c r="CF602" s="3">
        <v>45937</v>
      </c>
      <c r="CI602">
        <v>1</v>
      </c>
      <c r="CJ602">
        <v>1</v>
      </c>
      <c r="CK602">
        <v>21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"080068344803"</f>
        <v>080068344803</v>
      </c>
      <c r="F603" s="3">
        <v>45936</v>
      </c>
      <c r="G603">
        <v>202607</v>
      </c>
      <c r="H603" t="s">
        <v>79</v>
      </c>
      <c r="I603" t="s">
        <v>80</v>
      </c>
      <c r="J603" t="s">
        <v>91</v>
      </c>
      <c r="K603" t="s">
        <v>78</v>
      </c>
      <c r="L603" t="s">
        <v>79</v>
      </c>
      <c r="M603" t="s">
        <v>80</v>
      </c>
      <c r="N603" t="s">
        <v>357</v>
      </c>
      <c r="O603" t="s">
        <v>82</v>
      </c>
      <c r="P603" t="str">
        <f>"4170063016                    "</f>
        <v xml:space="preserve">4170063016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17.46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55.42</v>
      </c>
      <c r="BM603">
        <v>8.31</v>
      </c>
      <c r="BN603">
        <v>63.73</v>
      </c>
      <c r="BO603">
        <v>63.73</v>
      </c>
      <c r="BQ603" t="s">
        <v>358</v>
      </c>
      <c r="BR603" t="s">
        <v>97</v>
      </c>
      <c r="BS603" s="3">
        <v>45937</v>
      </c>
      <c r="BT603" s="4">
        <v>0.41180555555555554</v>
      </c>
      <c r="BU603" t="s">
        <v>1160</v>
      </c>
      <c r="BV603" t="s">
        <v>86</v>
      </c>
      <c r="BY603">
        <v>1200</v>
      </c>
      <c r="CA603" t="s">
        <v>360</v>
      </c>
      <c r="CC603" t="s">
        <v>80</v>
      </c>
      <c r="CD603">
        <v>1645</v>
      </c>
      <c r="CE603" t="s">
        <v>147</v>
      </c>
      <c r="CF603" s="3">
        <v>45938</v>
      </c>
      <c r="CI603">
        <v>1</v>
      </c>
      <c r="CJ603">
        <v>1</v>
      </c>
      <c r="CK603">
        <v>22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"080068344824"</f>
        <v>080068344824</v>
      </c>
      <c r="F604" s="3">
        <v>45936</v>
      </c>
      <c r="G604">
        <v>202607</v>
      </c>
      <c r="H604" t="s">
        <v>79</v>
      </c>
      <c r="I604" t="s">
        <v>80</v>
      </c>
      <c r="J604" t="s">
        <v>91</v>
      </c>
      <c r="K604" t="s">
        <v>78</v>
      </c>
      <c r="L604" t="s">
        <v>884</v>
      </c>
      <c r="M604" t="s">
        <v>885</v>
      </c>
      <c r="N604" t="s">
        <v>886</v>
      </c>
      <c r="O604" t="s">
        <v>82</v>
      </c>
      <c r="P604" t="str">
        <f>"4170063058                    "</f>
        <v xml:space="preserve">4170063058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43.31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137.47</v>
      </c>
      <c r="BM604">
        <v>20.62</v>
      </c>
      <c r="BN604">
        <v>158.09</v>
      </c>
      <c r="BO604">
        <v>158.09</v>
      </c>
      <c r="BQ604" t="s">
        <v>887</v>
      </c>
      <c r="BR604" t="s">
        <v>97</v>
      </c>
      <c r="BS604" s="3">
        <v>45937</v>
      </c>
      <c r="BT604" s="4">
        <v>0.33333333333333331</v>
      </c>
      <c r="BU604" t="s">
        <v>888</v>
      </c>
      <c r="BV604" t="s">
        <v>86</v>
      </c>
      <c r="BY604">
        <v>1200</v>
      </c>
      <c r="CC604" t="s">
        <v>885</v>
      </c>
      <c r="CD604">
        <v>2740</v>
      </c>
      <c r="CE604" t="s">
        <v>147</v>
      </c>
      <c r="CF604" s="3">
        <v>45938</v>
      </c>
      <c r="CI604">
        <v>1</v>
      </c>
      <c r="CJ604">
        <v>1</v>
      </c>
      <c r="CK604">
        <v>23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"080068344854"</f>
        <v>080068344854</v>
      </c>
      <c r="F605" s="3">
        <v>45936</v>
      </c>
      <c r="G605">
        <v>202607</v>
      </c>
      <c r="H605" t="s">
        <v>79</v>
      </c>
      <c r="I605" t="s">
        <v>80</v>
      </c>
      <c r="J605" t="s">
        <v>91</v>
      </c>
      <c r="K605" t="s">
        <v>78</v>
      </c>
      <c r="L605" t="s">
        <v>1208</v>
      </c>
      <c r="M605" t="s">
        <v>1209</v>
      </c>
      <c r="N605" t="s">
        <v>1210</v>
      </c>
      <c r="O605" t="s">
        <v>82</v>
      </c>
      <c r="P605" t="str">
        <f>"4170063145                    "</f>
        <v xml:space="preserve">4170063145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43.31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137.47</v>
      </c>
      <c r="BM605">
        <v>20.62</v>
      </c>
      <c r="BN605">
        <v>158.09</v>
      </c>
      <c r="BO605">
        <v>158.09</v>
      </c>
      <c r="BQ605" t="s">
        <v>1211</v>
      </c>
      <c r="BR605" t="s">
        <v>97</v>
      </c>
      <c r="BS605" s="3">
        <v>45937</v>
      </c>
      <c r="BT605" s="4">
        <v>0.69930555555555551</v>
      </c>
      <c r="BU605" t="s">
        <v>1212</v>
      </c>
      <c r="BV605" t="s">
        <v>86</v>
      </c>
      <c r="BY605">
        <v>1200</v>
      </c>
      <c r="CA605" t="s">
        <v>1213</v>
      </c>
      <c r="CC605" t="s">
        <v>1209</v>
      </c>
      <c r="CD605">
        <v>9880</v>
      </c>
      <c r="CE605" t="s">
        <v>147</v>
      </c>
      <c r="CF605" s="3">
        <v>45938</v>
      </c>
      <c r="CI605">
        <v>1</v>
      </c>
      <c r="CJ605">
        <v>1</v>
      </c>
      <c r="CK605">
        <v>23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"080068344883"</f>
        <v>080068344883</v>
      </c>
      <c r="F606" s="3">
        <v>45936</v>
      </c>
      <c r="G606">
        <v>202607</v>
      </c>
      <c r="H606" t="s">
        <v>79</v>
      </c>
      <c r="I606" t="s">
        <v>80</v>
      </c>
      <c r="J606" t="s">
        <v>91</v>
      </c>
      <c r="K606" t="s">
        <v>78</v>
      </c>
      <c r="L606" t="s">
        <v>306</v>
      </c>
      <c r="M606" t="s">
        <v>307</v>
      </c>
      <c r="N606" t="s">
        <v>1302</v>
      </c>
      <c r="O606" t="s">
        <v>82</v>
      </c>
      <c r="P606" t="str">
        <f>"4170063120                    "</f>
        <v xml:space="preserve">4170063120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22.36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70.959999999999994</v>
      </c>
      <c r="BM606">
        <v>10.64</v>
      </c>
      <c r="BN606">
        <v>81.599999999999994</v>
      </c>
      <c r="BO606">
        <v>81.599999999999994</v>
      </c>
      <c r="BQ606" t="s">
        <v>1303</v>
      </c>
      <c r="BR606" t="s">
        <v>97</v>
      </c>
      <c r="BS606" s="3">
        <v>45937</v>
      </c>
      <c r="BT606" s="4">
        <v>0.42708333333333331</v>
      </c>
      <c r="BU606" t="s">
        <v>868</v>
      </c>
      <c r="BV606" t="s">
        <v>86</v>
      </c>
      <c r="BY606">
        <v>1200</v>
      </c>
      <c r="CC606" t="s">
        <v>307</v>
      </c>
      <c r="CD606">
        <v>4133</v>
      </c>
      <c r="CE606" t="s">
        <v>147</v>
      </c>
      <c r="CF606" s="3">
        <v>45937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"080068344907"</f>
        <v>080068344907</v>
      </c>
      <c r="F607" s="3">
        <v>45936</v>
      </c>
      <c r="G607">
        <v>202607</v>
      </c>
      <c r="H607" t="s">
        <v>79</v>
      </c>
      <c r="I607" t="s">
        <v>80</v>
      </c>
      <c r="J607" t="s">
        <v>91</v>
      </c>
      <c r="K607" t="s">
        <v>78</v>
      </c>
      <c r="L607" t="s">
        <v>168</v>
      </c>
      <c r="M607" t="s">
        <v>169</v>
      </c>
      <c r="N607" t="s">
        <v>1304</v>
      </c>
      <c r="O607" t="s">
        <v>82</v>
      </c>
      <c r="P607" t="str">
        <f>"4170063017                    "</f>
        <v xml:space="preserve">4170063017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22.36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70.959999999999994</v>
      </c>
      <c r="BM607">
        <v>10.64</v>
      </c>
      <c r="BN607">
        <v>81.599999999999994</v>
      </c>
      <c r="BO607">
        <v>81.599999999999994</v>
      </c>
      <c r="BQ607" t="s">
        <v>1305</v>
      </c>
      <c r="BR607" t="s">
        <v>97</v>
      </c>
      <c r="BS607" s="3">
        <v>45937</v>
      </c>
      <c r="BT607" s="4">
        <v>0.43680555555555556</v>
      </c>
      <c r="BU607" t="s">
        <v>1306</v>
      </c>
      <c r="BV607" t="s">
        <v>86</v>
      </c>
      <c r="BY607">
        <v>1200</v>
      </c>
      <c r="CA607" t="s">
        <v>146</v>
      </c>
      <c r="CC607" t="s">
        <v>169</v>
      </c>
      <c r="CD607" s="5" t="s">
        <v>217</v>
      </c>
      <c r="CE607" t="s">
        <v>147</v>
      </c>
      <c r="CF607" s="3">
        <v>45937</v>
      </c>
      <c r="CI607">
        <v>1</v>
      </c>
      <c r="CJ607">
        <v>1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"080068345081"</f>
        <v>080068345081</v>
      </c>
      <c r="F608" s="3">
        <v>45936</v>
      </c>
      <c r="G608">
        <v>202607</v>
      </c>
      <c r="H608" t="s">
        <v>79</v>
      </c>
      <c r="I608" t="s">
        <v>80</v>
      </c>
      <c r="J608" t="s">
        <v>91</v>
      </c>
      <c r="K608" t="s">
        <v>78</v>
      </c>
      <c r="L608" t="s">
        <v>79</v>
      </c>
      <c r="M608" t="s">
        <v>80</v>
      </c>
      <c r="N608" t="s">
        <v>830</v>
      </c>
      <c r="O608" t="s">
        <v>82</v>
      </c>
      <c r="P608" t="str">
        <f>"4170063127                    "</f>
        <v xml:space="preserve">4170063127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17.46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0.6</v>
      </c>
      <c r="BK608">
        <v>1</v>
      </c>
      <c r="BL608">
        <v>55.42</v>
      </c>
      <c r="BM608">
        <v>8.31</v>
      </c>
      <c r="BN608">
        <v>63.73</v>
      </c>
      <c r="BO608">
        <v>63.73</v>
      </c>
      <c r="BQ608" t="s">
        <v>831</v>
      </c>
      <c r="BR608" t="s">
        <v>97</v>
      </c>
      <c r="BS608" s="3">
        <v>45937</v>
      </c>
      <c r="BT608" s="4">
        <v>0.42916666666666664</v>
      </c>
      <c r="BU608" t="s">
        <v>1307</v>
      </c>
      <c r="BV608" t="s">
        <v>86</v>
      </c>
      <c r="BY608">
        <v>3192</v>
      </c>
      <c r="CA608" t="s">
        <v>88</v>
      </c>
      <c r="CC608" t="s">
        <v>80</v>
      </c>
      <c r="CD608">
        <v>1619</v>
      </c>
      <c r="CE608" t="s">
        <v>191</v>
      </c>
      <c r="CF608" s="3">
        <v>45937</v>
      </c>
      <c r="CI608">
        <v>1</v>
      </c>
      <c r="CJ608">
        <v>1</v>
      </c>
      <c r="CK608">
        <v>22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"080068345127"</f>
        <v>080068345127</v>
      </c>
      <c r="F609" s="3">
        <v>45936</v>
      </c>
      <c r="G609">
        <v>202607</v>
      </c>
      <c r="H609" t="s">
        <v>79</v>
      </c>
      <c r="I609" t="s">
        <v>80</v>
      </c>
      <c r="J609" t="s">
        <v>91</v>
      </c>
      <c r="K609" t="s">
        <v>78</v>
      </c>
      <c r="L609" t="s">
        <v>322</v>
      </c>
      <c r="M609" t="s">
        <v>322</v>
      </c>
      <c r="N609" t="s">
        <v>481</v>
      </c>
      <c r="O609" t="s">
        <v>82</v>
      </c>
      <c r="P609" t="str">
        <f>"4170063047                    "</f>
        <v xml:space="preserve">4170063047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62.87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3</v>
      </c>
      <c r="BJ609">
        <v>1.9</v>
      </c>
      <c r="BK609">
        <v>3</v>
      </c>
      <c r="BL609">
        <v>199.55</v>
      </c>
      <c r="BM609">
        <v>29.93</v>
      </c>
      <c r="BN609">
        <v>229.48</v>
      </c>
      <c r="BO609">
        <v>229.48</v>
      </c>
      <c r="BQ609" t="s">
        <v>482</v>
      </c>
      <c r="BR609" t="s">
        <v>97</v>
      </c>
      <c r="BS609" s="3">
        <v>45937</v>
      </c>
      <c r="BT609" s="4">
        <v>0.53541666666666665</v>
      </c>
      <c r="BU609" t="s">
        <v>378</v>
      </c>
      <c r="BV609" t="s">
        <v>86</v>
      </c>
      <c r="BY609">
        <v>9600</v>
      </c>
      <c r="CA609" t="s">
        <v>326</v>
      </c>
      <c r="CC609" t="s">
        <v>322</v>
      </c>
      <c r="CD609">
        <v>7646</v>
      </c>
      <c r="CE609" t="s">
        <v>191</v>
      </c>
      <c r="CF609" s="3">
        <v>45938</v>
      </c>
      <c r="CI609">
        <v>1</v>
      </c>
      <c r="CJ609">
        <v>1</v>
      </c>
      <c r="CK609">
        <v>23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"080068345164"</f>
        <v>080068345164</v>
      </c>
      <c r="F610" s="3">
        <v>45936</v>
      </c>
      <c r="G610">
        <v>202607</v>
      </c>
      <c r="H610" t="s">
        <v>79</v>
      </c>
      <c r="I610" t="s">
        <v>80</v>
      </c>
      <c r="J610" t="s">
        <v>91</v>
      </c>
      <c r="K610" t="s">
        <v>78</v>
      </c>
      <c r="L610" t="s">
        <v>322</v>
      </c>
      <c r="M610" t="s">
        <v>322</v>
      </c>
      <c r="N610" t="s">
        <v>483</v>
      </c>
      <c r="O610" t="s">
        <v>95</v>
      </c>
      <c r="P610" t="str">
        <f>"4170062975                    "</f>
        <v xml:space="preserve">4170062975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123.26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18</v>
      </c>
      <c r="BJ610">
        <v>34.799999999999997</v>
      </c>
      <c r="BK610">
        <v>35</v>
      </c>
      <c r="BL610">
        <v>397.08</v>
      </c>
      <c r="BM610">
        <v>59.56</v>
      </c>
      <c r="BN610">
        <v>456.64</v>
      </c>
      <c r="BO610">
        <v>456.64</v>
      </c>
      <c r="BQ610" t="s">
        <v>486</v>
      </c>
      <c r="BR610" t="s">
        <v>97</v>
      </c>
      <c r="BS610" s="3">
        <v>45938</v>
      </c>
      <c r="BT610" s="4">
        <v>0.54027777777777775</v>
      </c>
      <c r="BU610" t="s">
        <v>485</v>
      </c>
      <c r="BV610" t="s">
        <v>86</v>
      </c>
      <c r="BY610">
        <v>173880</v>
      </c>
      <c r="CA610" t="s">
        <v>326</v>
      </c>
      <c r="CC610" t="s">
        <v>322</v>
      </c>
      <c r="CD610">
        <v>7646</v>
      </c>
      <c r="CE610" t="s">
        <v>191</v>
      </c>
      <c r="CF610" s="3">
        <v>45939</v>
      </c>
      <c r="CI610">
        <v>3</v>
      </c>
      <c r="CJ610">
        <v>2</v>
      </c>
      <c r="CK610">
        <v>43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"080068345206"</f>
        <v>080068345206</v>
      </c>
      <c r="F611" s="3">
        <v>45936</v>
      </c>
      <c r="G611">
        <v>202607</v>
      </c>
      <c r="H611" t="s">
        <v>79</v>
      </c>
      <c r="I611" t="s">
        <v>80</v>
      </c>
      <c r="J611" t="s">
        <v>91</v>
      </c>
      <c r="K611" t="s">
        <v>78</v>
      </c>
      <c r="L611" t="s">
        <v>223</v>
      </c>
      <c r="M611" t="s">
        <v>224</v>
      </c>
      <c r="N611" t="s">
        <v>570</v>
      </c>
      <c r="O611" t="s">
        <v>82</v>
      </c>
      <c r="P611" t="str">
        <f>"4170063071                    "</f>
        <v xml:space="preserve">4170063071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17.46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55.42</v>
      </c>
      <c r="BM611">
        <v>8.31</v>
      </c>
      <c r="BN611">
        <v>63.73</v>
      </c>
      <c r="BO611">
        <v>63.73</v>
      </c>
      <c r="BQ611" t="s">
        <v>571</v>
      </c>
      <c r="BR611" t="s">
        <v>97</v>
      </c>
      <c r="BS611" s="3">
        <v>45937</v>
      </c>
      <c r="BT611" s="4">
        <v>0.43333333333333335</v>
      </c>
      <c r="BU611" t="s">
        <v>1308</v>
      </c>
      <c r="BV611" t="s">
        <v>86</v>
      </c>
      <c r="BY611">
        <v>1200</v>
      </c>
      <c r="CA611" t="s">
        <v>1110</v>
      </c>
      <c r="CC611" t="s">
        <v>224</v>
      </c>
      <c r="CD611">
        <v>1459</v>
      </c>
      <c r="CE611" t="s">
        <v>147</v>
      </c>
      <c r="CF611" s="3">
        <v>45937</v>
      </c>
      <c r="CI611">
        <v>1</v>
      </c>
      <c r="CJ611">
        <v>1</v>
      </c>
      <c r="CK611">
        <v>22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"080068345232"</f>
        <v>080068345232</v>
      </c>
      <c r="F612" s="3">
        <v>45936</v>
      </c>
      <c r="G612">
        <v>202607</v>
      </c>
      <c r="H612" t="s">
        <v>79</v>
      </c>
      <c r="I612" t="s">
        <v>80</v>
      </c>
      <c r="J612" t="s">
        <v>91</v>
      </c>
      <c r="K612" t="s">
        <v>78</v>
      </c>
      <c r="L612" t="s">
        <v>148</v>
      </c>
      <c r="M612" t="s">
        <v>149</v>
      </c>
      <c r="N612" t="s">
        <v>685</v>
      </c>
      <c r="O612" t="s">
        <v>82</v>
      </c>
      <c r="P612" t="str">
        <f>"4170063102                    "</f>
        <v xml:space="preserve">4170063102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17.46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55.42</v>
      </c>
      <c r="BM612">
        <v>8.31</v>
      </c>
      <c r="BN612">
        <v>63.73</v>
      </c>
      <c r="BO612">
        <v>63.73</v>
      </c>
      <c r="BQ612" t="s">
        <v>686</v>
      </c>
      <c r="BR612" t="s">
        <v>97</v>
      </c>
      <c r="BS612" s="3">
        <v>45937</v>
      </c>
      <c r="BT612" s="4">
        <v>0.3888888888888889</v>
      </c>
      <c r="BU612" t="s">
        <v>1043</v>
      </c>
      <c r="BV612" t="s">
        <v>86</v>
      </c>
      <c r="BY612">
        <v>1200</v>
      </c>
      <c r="CA612" t="s">
        <v>904</v>
      </c>
      <c r="CC612" t="s">
        <v>149</v>
      </c>
      <c r="CD612">
        <v>2169</v>
      </c>
      <c r="CE612" t="s">
        <v>147</v>
      </c>
      <c r="CF612" s="3">
        <v>45938</v>
      </c>
      <c r="CI612">
        <v>1</v>
      </c>
      <c r="CJ612">
        <v>1</v>
      </c>
      <c r="CK612">
        <v>22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"080068345267"</f>
        <v>080068345267</v>
      </c>
      <c r="F613" s="3">
        <v>45936</v>
      </c>
      <c r="G613">
        <v>202607</v>
      </c>
      <c r="H613" t="s">
        <v>79</v>
      </c>
      <c r="I613" t="s">
        <v>80</v>
      </c>
      <c r="J613" t="s">
        <v>91</v>
      </c>
      <c r="K613" t="s">
        <v>78</v>
      </c>
      <c r="L613" t="s">
        <v>206</v>
      </c>
      <c r="M613" t="s">
        <v>207</v>
      </c>
      <c r="N613" t="s">
        <v>656</v>
      </c>
      <c r="O613" t="s">
        <v>82</v>
      </c>
      <c r="P613" t="str">
        <f>"4170063132                    "</f>
        <v xml:space="preserve">4170063132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22.36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70.959999999999994</v>
      </c>
      <c r="BM613">
        <v>10.64</v>
      </c>
      <c r="BN613">
        <v>81.599999999999994</v>
      </c>
      <c r="BO613">
        <v>81.599999999999994</v>
      </c>
      <c r="BQ613" t="s">
        <v>657</v>
      </c>
      <c r="BR613" t="s">
        <v>97</v>
      </c>
      <c r="BS613" s="3">
        <v>45937</v>
      </c>
      <c r="BT613" s="4">
        <v>0.4236111111111111</v>
      </c>
      <c r="BU613" t="s">
        <v>658</v>
      </c>
      <c r="BV613" t="s">
        <v>86</v>
      </c>
      <c r="BY613">
        <v>1200</v>
      </c>
      <c r="CA613" t="s">
        <v>211</v>
      </c>
      <c r="CC613" t="s">
        <v>207</v>
      </c>
      <c r="CD613">
        <v>7441</v>
      </c>
      <c r="CE613" t="s">
        <v>147</v>
      </c>
      <c r="CF613" s="3">
        <v>45938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"080068345687"</f>
        <v>080068345687</v>
      </c>
      <c r="F614" s="3">
        <v>45936</v>
      </c>
      <c r="G614">
        <v>202607</v>
      </c>
      <c r="H614" t="s">
        <v>79</v>
      </c>
      <c r="I614" t="s">
        <v>80</v>
      </c>
      <c r="J614" t="s">
        <v>91</v>
      </c>
      <c r="K614" t="s">
        <v>78</v>
      </c>
      <c r="L614" t="s">
        <v>206</v>
      </c>
      <c r="M614" t="s">
        <v>207</v>
      </c>
      <c r="N614" t="s">
        <v>1309</v>
      </c>
      <c r="O614" t="s">
        <v>82</v>
      </c>
      <c r="P614" t="str">
        <f>"4170063115                    "</f>
        <v xml:space="preserve">4170063115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22.36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70.959999999999994</v>
      </c>
      <c r="BM614">
        <v>10.64</v>
      </c>
      <c r="BN614">
        <v>81.599999999999994</v>
      </c>
      <c r="BO614">
        <v>81.599999999999994</v>
      </c>
      <c r="BQ614" t="s">
        <v>1310</v>
      </c>
      <c r="BR614" t="s">
        <v>97</v>
      </c>
      <c r="BS614" s="3">
        <v>45937</v>
      </c>
      <c r="BT614" s="4">
        <v>0.43541666666666667</v>
      </c>
      <c r="BU614" t="s">
        <v>1311</v>
      </c>
      <c r="BV614" t="s">
        <v>86</v>
      </c>
      <c r="BY614">
        <v>1200</v>
      </c>
      <c r="CC614" t="s">
        <v>207</v>
      </c>
      <c r="CD614">
        <v>7441</v>
      </c>
      <c r="CE614" t="s">
        <v>147</v>
      </c>
      <c r="CF614" s="3">
        <v>45938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"080068346483"</f>
        <v>080068346483</v>
      </c>
      <c r="F615" s="3">
        <v>45936</v>
      </c>
      <c r="G615">
        <v>202607</v>
      </c>
      <c r="H615" t="s">
        <v>79</v>
      </c>
      <c r="I615" t="s">
        <v>80</v>
      </c>
      <c r="J615" t="s">
        <v>91</v>
      </c>
      <c r="K615" t="s">
        <v>78</v>
      </c>
      <c r="L615" t="s">
        <v>1312</v>
      </c>
      <c r="M615" t="s">
        <v>1313</v>
      </c>
      <c r="N615" t="s">
        <v>1314</v>
      </c>
      <c r="O615" t="s">
        <v>95</v>
      </c>
      <c r="P615" t="str">
        <f>"4170062836                    "</f>
        <v xml:space="preserve">4170062836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55.22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21</v>
      </c>
      <c r="BJ615">
        <v>14.4</v>
      </c>
      <c r="BK615">
        <v>21</v>
      </c>
      <c r="BL615">
        <v>181.14</v>
      </c>
      <c r="BM615">
        <v>27.17</v>
      </c>
      <c r="BN615">
        <v>208.31</v>
      </c>
      <c r="BO615">
        <v>208.31</v>
      </c>
      <c r="BQ615" t="s">
        <v>1315</v>
      </c>
      <c r="BR615" t="s">
        <v>97</v>
      </c>
      <c r="BS615" s="3">
        <v>45938</v>
      </c>
      <c r="BT615" s="4">
        <v>0.3611111111111111</v>
      </c>
      <c r="BU615" t="s">
        <v>1316</v>
      </c>
      <c r="BV615" t="s">
        <v>90</v>
      </c>
      <c r="BW615" t="s">
        <v>188</v>
      </c>
      <c r="BX615" t="s">
        <v>1317</v>
      </c>
      <c r="BY615">
        <v>72000</v>
      </c>
      <c r="CA615" t="s">
        <v>1318</v>
      </c>
      <c r="CC615" t="s">
        <v>1313</v>
      </c>
      <c r="CD615">
        <v>2410</v>
      </c>
      <c r="CE615" t="s">
        <v>1319</v>
      </c>
      <c r="CF615" s="3">
        <v>45938</v>
      </c>
      <c r="CI615">
        <v>1</v>
      </c>
      <c r="CJ615">
        <v>2</v>
      </c>
      <c r="CK615">
        <v>44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"080068346537"</f>
        <v>080068346537</v>
      </c>
      <c r="F616" s="3">
        <v>45936</v>
      </c>
      <c r="G616">
        <v>202607</v>
      </c>
      <c r="H616" t="s">
        <v>79</v>
      </c>
      <c r="I616" t="s">
        <v>80</v>
      </c>
      <c r="J616" t="s">
        <v>91</v>
      </c>
      <c r="K616" t="s">
        <v>78</v>
      </c>
      <c r="L616" t="s">
        <v>148</v>
      </c>
      <c r="M616" t="s">
        <v>149</v>
      </c>
      <c r="N616" t="s">
        <v>150</v>
      </c>
      <c r="O616" t="s">
        <v>226</v>
      </c>
      <c r="P616" t="str">
        <f>"4170063039                    "</f>
        <v xml:space="preserve">4170063039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17.47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3.4</v>
      </c>
      <c r="BK616">
        <v>4</v>
      </c>
      <c r="BL616">
        <v>55.44</v>
      </c>
      <c r="BM616">
        <v>8.32</v>
      </c>
      <c r="BN616">
        <v>63.76</v>
      </c>
      <c r="BO616">
        <v>63.76</v>
      </c>
      <c r="BQ616" t="s">
        <v>151</v>
      </c>
      <c r="BR616" t="s">
        <v>97</v>
      </c>
      <c r="BS616" s="3">
        <v>45937</v>
      </c>
      <c r="BT616" s="4">
        <v>0.41666666666666669</v>
      </c>
      <c r="BU616" t="s">
        <v>1320</v>
      </c>
      <c r="BV616" t="s">
        <v>86</v>
      </c>
      <c r="BY616">
        <v>16965</v>
      </c>
      <c r="CA616" t="s">
        <v>1321</v>
      </c>
      <c r="CC616" t="s">
        <v>149</v>
      </c>
      <c r="CD616">
        <v>2013</v>
      </c>
      <c r="CE616" t="s">
        <v>191</v>
      </c>
      <c r="CF616" s="3">
        <v>45937</v>
      </c>
      <c r="CI616">
        <v>1</v>
      </c>
      <c r="CJ616">
        <v>1</v>
      </c>
      <c r="CK616">
        <v>32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"080068346562"</f>
        <v>080068346562</v>
      </c>
      <c r="F617" s="3">
        <v>45936</v>
      </c>
      <c r="G617">
        <v>202607</v>
      </c>
      <c r="H617" t="s">
        <v>79</v>
      </c>
      <c r="I617" t="s">
        <v>80</v>
      </c>
      <c r="J617" t="s">
        <v>91</v>
      </c>
      <c r="K617" t="s">
        <v>78</v>
      </c>
      <c r="L617" t="s">
        <v>271</v>
      </c>
      <c r="M617" t="s">
        <v>272</v>
      </c>
      <c r="N617" t="s">
        <v>1322</v>
      </c>
      <c r="O617" t="s">
        <v>82</v>
      </c>
      <c r="P617" t="str">
        <f>"4170062993                    "</f>
        <v xml:space="preserve">4170062993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17.46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3</v>
      </c>
      <c r="BJ617">
        <v>1.7</v>
      </c>
      <c r="BK617">
        <v>3</v>
      </c>
      <c r="BL617">
        <v>55.42</v>
      </c>
      <c r="BM617">
        <v>8.31</v>
      </c>
      <c r="BN617">
        <v>63.73</v>
      </c>
      <c r="BO617">
        <v>63.73</v>
      </c>
      <c r="BQ617" t="s">
        <v>1323</v>
      </c>
      <c r="BR617" t="s">
        <v>97</v>
      </c>
      <c r="BS617" s="3">
        <v>45937</v>
      </c>
      <c r="BT617" s="4">
        <v>0.38611111111111113</v>
      </c>
      <c r="BU617" t="s">
        <v>1324</v>
      </c>
      <c r="BV617" t="s">
        <v>86</v>
      </c>
      <c r="BY617">
        <v>8512</v>
      </c>
      <c r="CA617" t="s">
        <v>280</v>
      </c>
      <c r="CC617" t="s">
        <v>272</v>
      </c>
      <c r="CD617">
        <v>1401</v>
      </c>
      <c r="CE617" t="s">
        <v>191</v>
      </c>
      <c r="CF617" s="3">
        <v>45938</v>
      </c>
      <c r="CI617">
        <v>1</v>
      </c>
      <c r="CJ617">
        <v>1</v>
      </c>
      <c r="CK617">
        <v>22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"080068346629"</f>
        <v>080068346629</v>
      </c>
      <c r="F618" s="3">
        <v>45936</v>
      </c>
      <c r="G618">
        <v>202607</v>
      </c>
      <c r="H618" t="s">
        <v>79</v>
      </c>
      <c r="I618" t="s">
        <v>80</v>
      </c>
      <c r="J618" t="s">
        <v>91</v>
      </c>
      <c r="K618" t="s">
        <v>78</v>
      </c>
      <c r="L618" t="s">
        <v>148</v>
      </c>
      <c r="M618" t="s">
        <v>149</v>
      </c>
      <c r="N618" t="s">
        <v>819</v>
      </c>
      <c r="O618" t="s">
        <v>82</v>
      </c>
      <c r="P618" t="str">
        <f>"4170062970                    "</f>
        <v xml:space="preserve">4170062970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17.46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2</v>
      </c>
      <c r="BJ618">
        <v>0.9</v>
      </c>
      <c r="BK618">
        <v>2</v>
      </c>
      <c r="BL618">
        <v>55.42</v>
      </c>
      <c r="BM618">
        <v>8.31</v>
      </c>
      <c r="BN618">
        <v>63.73</v>
      </c>
      <c r="BO618">
        <v>63.73</v>
      </c>
      <c r="BQ618" t="s">
        <v>820</v>
      </c>
      <c r="BR618" t="s">
        <v>97</v>
      </c>
      <c r="BS618" s="3">
        <v>45937</v>
      </c>
      <c r="BT618" s="4">
        <v>0.41666666666666669</v>
      </c>
      <c r="BU618" t="s">
        <v>1325</v>
      </c>
      <c r="BV618" t="s">
        <v>86</v>
      </c>
      <c r="BY618">
        <v>4560</v>
      </c>
      <c r="CA618" t="s">
        <v>519</v>
      </c>
      <c r="CC618" t="s">
        <v>149</v>
      </c>
      <c r="CD618">
        <v>2197</v>
      </c>
      <c r="CE618" t="s">
        <v>191</v>
      </c>
      <c r="CF618" s="3">
        <v>45937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"080068346672"</f>
        <v>080068346672</v>
      </c>
      <c r="F619" s="3">
        <v>45936</v>
      </c>
      <c r="G619">
        <v>202607</v>
      </c>
      <c r="H619" t="s">
        <v>79</v>
      </c>
      <c r="I619" t="s">
        <v>80</v>
      </c>
      <c r="J619" t="s">
        <v>91</v>
      </c>
      <c r="K619" t="s">
        <v>78</v>
      </c>
      <c r="L619" t="s">
        <v>92</v>
      </c>
      <c r="M619" t="s">
        <v>93</v>
      </c>
      <c r="N619" t="s">
        <v>597</v>
      </c>
      <c r="O619" t="s">
        <v>82</v>
      </c>
      <c r="P619" t="str">
        <f>"4170063142                    "</f>
        <v xml:space="preserve">4170063142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22.36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1.1000000000000001</v>
      </c>
      <c r="BK619">
        <v>1.5</v>
      </c>
      <c r="BL619">
        <v>70.959999999999994</v>
      </c>
      <c r="BM619">
        <v>10.64</v>
      </c>
      <c r="BN619">
        <v>81.599999999999994</v>
      </c>
      <c r="BO619">
        <v>81.599999999999994</v>
      </c>
      <c r="BQ619" t="s">
        <v>598</v>
      </c>
      <c r="BR619" t="s">
        <v>97</v>
      </c>
      <c r="BS619" s="3">
        <v>45937</v>
      </c>
      <c r="BT619" s="4">
        <v>0.50277777777777777</v>
      </c>
      <c r="BU619" t="s">
        <v>1326</v>
      </c>
      <c r="BV619" t="s">
        <v>86</v>
      </c>
      <c r="BY619">
        <v>5510</v>
      </c>
      <c r="CA619" t="s">
        <v>1139</v>
      </c>
      <c r="CC619" t="s">
        <v>93</v>
      </c>
      <c r="CD619">
        <v>3201</v>
      </c>
      <c r="CE619" t="s">
        <v>191</v>
      </c>
      <c r="CF619" s="3">
        <v>45938</v>
      </c>
      <c r="CI619">
        <v>1</v>
      </c>
      <c r="CJ619">
        <v>1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"080068346694"</f>
        <v>080068346694</v>
      </c>
      <c r="F620" s="3">
        <v>45936</v>
      </c>
      <c r="G620">
        <v>202607</v>
      </c>
      <c r="H620" t="s">
        <v>79</v>
      </c>
      <c r="I620" t="s">
        <v>80</v>
      </c>
      <c r="J620" t="s">
        <v>91</v>
      </c>
      <c r="K620" t="s">
        <v>78</v>
      </c>
      <c r="L620" t="s">
        <v>148</v>
      </c>
      <c r="M620" t="s">
        <v>149</v>
      </c>
      <c r="N620" t="s">
        <v>905</v>
      </c>
      <c r="O620" t="s">
        <v>82</v>
      </c>
      <c r="P620" t="str">
        <f>"4170063108                    "</f>
        <v xml:space="preserve">4170063108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17.46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55.42</v>
      </c>
      <c r="BM620">
        <v>8.31</v>
      </c>
      <c r="BN620">
        <v>63.73</v>
      </c>
      <c r="BO620">
        <v>63.73</v>
      </c>
      <c r="BQ620" t="s">
        <v>906</v>
      </c>
      <c r="BR620" t="s">
        <v>97</v>
      </c>
      <c r="BS620" s="3">
        <v>45937</v>
      </c>
      <c r="BT620" s="4">
        <v>0.42916666666666664</v>
      </c>
      <c r="BU620" t="s">
        <v>1327</v>
      </c>
      <c r="BV620" t="s">
        <v>86</v>
      </c>
      <c r="BY620">
        <v>1200</v>
      </c>
      <c r="CA620" t="s">
        <v>519</v>
      </c>
      <c r="CC620" t="s">
        <v>149</v>
      </c>
      <c r="CD620">
        <v>2094</v>
      </c>
      <c r="CE620" t="s">
        <v>147</v>
      </c>
      <c r="CF620" s="3">
        <v>45937</v>
      </c>
      <c r="CI620">
        <v>1</v>
      </c>
      <c r="CJ620">
        <v>1</v>
      </c>
      <c r="CK620">
        <v>22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"080068346733"</f>
        <v>080068346733</v>
      </c>
      <c r="F621" s="3">
        <v>45936</v>
      </c>
      <c r="G621">
        <v>202607</v>
      </c>
      <c r="H621" t="s">
        <v>79</v>
      </c>
      <c r="I621" t="s">
        <v>80</v>
      </c>
      <c r="J621" t="s">
        <v>91</v>
      </c>
      <c r="K621" t="s">
        <v>78</v>
      </c>
      <c r="L621" t="s">
        <v>79</v>
      </c>
      <c r="M621" t="s">
        <v>80</v>
      </c>
      <c r="N621" t="s">
        <v>694</v>
      </c>
      <c r="O621" t="s">
        <v>82</v>
      </c>
      <c r="P621" t="str">
        <f>"4170063097                    "</f>
        <v xml:space="preserve">4170063097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17.46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1.1000000000000001</v>
      </c>
      <c r="BK621">
        <v>2</v>
      </c>
      <c r="BL621">
        <v>55.42</v>
      </c>
      <c r="BM621">
        <v>8.31</v>
      </c>
      <c r="BN621">
        <v>63.73</v>
      </c>
      <c r="BO621">
        <v>63.73</v>
      </c>
      <c r="BQ621" t="s">
        <v>695</v>
      </c>
      <c r="BR621" t="s">
        <v>97</v>
      </c>
      <c r="BS621" s="3">
        <v>45937</v>
      </c>
      <c r="BT621" s="4">
        <v>0.38333333333333336</v>
      </c>
      <c r="BU621" t="s">
        <v>1131</v>
      </c>
      <c r="BV621" t="s">
        <v>86</v>
      </c>
      <c r="BY621">
        <v>5320</v>
      </c>
      <c r="CA621" t="s">
        <v>88</v>
      </c>
      <c r="CC621" t="s">
        <v>80</v>
      </c>
      <c r="CD621">
        <v>1601</v>
      </c>
      <c r="CE621" t="s">
        <v>191</v>
      </c>
      <c r="CF621" s="3">
        <v>45937</v>
      </c>
      <c r="CI621">
        <v>1</v>
      </c>
      <c r="CJ621">
        <v>1</v>
      </c>
      <c r="CK621">
        <v>22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"080068346750"</f>
        <v>080068346750</v>
      </c>
      <c r="F622" s="3">
        <v>45936</v>
      </c>
      <c r="G622">
        <v>202607</v>
      </c>
      <c r="H622" t="s">
        <v>79</v>
      </c>
      <c r="I622" t="s">
        <v>80</v>
      </c>
      <c r="J622" t="s">
        <v>91</v>
      </c>
      <c r="K622" t="s">
        <v>78</v>
      </c>
      <c r="L622" t="s">
        <v>322</v>
      </c>
      <c r="M622" t="s">
        <v>322</v>
      </c>
      <c r="N622" t="s">
        <v>483</v>
      </c>
      <c r="O622" t="s">
        <v>82</v>
      </c>
      <c r="P622" t="str">
        <f>"4170063085                    "</f>
        <v xml:space="preserve">4170063085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62.87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1.1000000000000001</v>
      </c>
      <c r="BK622">
        <v>3</v>
      </c>
      <c r="BL622">
        <v>199.55</v>
      </c>
      <c r="BM622">
        <v>29.93</v>
      </c>
      <c r="BN622">
        <v>229.48</v>
      </c>
      <c r="BO622">
        <v>229.48</v>
      </c>
      <c r="BQ622" t="s">
        <v>486</v>
      </c>
      <c r="BR622" t="s">
        <v>97</v>
      </c>
      <c r="BS622" s="3">
        <v>45937</v>
      </c>
      <c r="BT622" s="4">
        <v>0.52569444444444446</v>
      </c>
      <c r="BU622" t="s">
        <v>485</v>
      </c>
      <c r="BV622" t="s">
        <v>86</v>
      </c>
      <c r="BY622">
        <v>5320</v>
      </c>
      <c r="CA622" t="s">
        <v>326</v>
      </c>
      <c r="CC622" t="s">
        <v>322</v>
      </c>
      <c r="CD622">
        <v>7646</v>
      </c>
      <c r="CE622" t="s">
        <v>191</v>
      </c>
      <c r="CF622" s="3">
        <v>45938</v>
      </c>
      <c r="CI622">
        <v>1</v>
      </c>
      <c r="CJ622">
        <v>1</v>
      </c>
      <c r="CK622">
        <v>23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"080068346869"</f>
        <v>080068346869</v>
      </c>
      <c r="F623" s="3">
        <v>45936</v>
      </c>
      <c r="G623">
        <v>202607</v>
      </c>
      <c r="H623" t="s">
        <v>79</v>
      </c>
      <c r="I623" t="s">
        <v>80</v>
      </c>
      <c r="J623" t="s">
        <v>91</v>
      </c>
      <c r="K623" t="s">
        <v>78</v>
      </c>
      <c r="L623" t="s">
        <v>195</v>
      </c>
      <c r="M623" t="s">
        <v>196</v>
      </c>
      <c r="N623" t="s">
        <v>197</v>
      </c>
      <c r="O623" t="s">
        <v>95</v>
      </c>
      <c r="P623" t="str">
        <f>"4170063009                    "</f>
        <v xml:space="preserve">4170063009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89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10</v>
      </c>
      <c r="BJ623">
        <v>23.5</v>
      </c>
      <c r="BK623">
        <v>24</v>
      </c>
      <c r="BL623">
        <v>288.35000000000002</v>
      </c>
      <c r="BM623">
        <v>43.25</v>
      </c>
      <c r="BN623">
        <v>331.6</v>
      </c>
      <c r="BO623">
        <v>331.6</v>
      </c>
      <c r="BQ623" t="s">
        <v>198</v>
      </c>
      <c r="BR623" t="s">
        <v>97</v>
      </c>
      <c r="BS623" s="3">
        <v>45937</v>
      </c>
      <c r="BT623" s="4">
        <v>0.58194444444444449</v>
      </c>
      <c r="BU623" t="s">
        <v>1328</v>
      </c>
      <c r="BV623" t="s">
        <v>86</v>
      </c>
      <c r="BY623">
        <v>117600</v>
      </c>
      <c r="CA623" t="s">
        <v>200</v>
      </c>
      <c r="CC623" t="s">
        <v>196</v>
      </c>
      <c r="CD623">
        <v>1900</v>
      </c>
      <c r="CE623" t="s">
        <v>107</v>
      </c>
      <c r="CF623" s="3">
        <v>45938</v>
      </c>
      <c r="CI623">
        <v>1</v>
      </c>
      <c r="CJ623">
        <v>1</v>
      </c>
      <c r="CK623">
        <v>43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"080068346916"</f>
        <v>080068346916</v>
      </c>
      <c r="F624" s="3">
        <v>45936</v>
      </c>
      <c r="G624">
        <v>202607</v>
      </c>
      <c r="H624" t="s">
        <v>79</v>
      </c>
      <c r="I624" t="s">
        <v>80</v>
      </c>
      <c r="J624" t="s">
        <v>91</v>
      </c>
      <c r="K624" t="s">
        <v>78</v>
      </c>
      <c r="L624" t="s">
        <v>121</v>
      </c>
      <c r="M624" t="s">
        <v>122</v>
      </c>
      <c r="N624" t="s">
        <v>123</v>
      </c>
      <c r="O624" t="s">
        <v>82</v>
      </c>
      <c r="P624" t="str">
        <f>"4170063069                    "</f>
        <v xml:space="preserve">4170063069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55.86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5</v>
      </c>
      <c r="BJ624">
        <v>1.7</v>
      </c>
      <c r="BK624">
        <v>5</v>
      </c>
      <c r="BL624">
        <v>177.3</v>
      </c>
      <c r="BM624">
        <v>26.6</v>
      </c>
      <c r="BN624">
        <v>203.9</v>
      </c>
      <c r="BO624">
        <v>203.9</v>
      </c>
      <c r="BQ624" t="s">
        <v>124</v>
      </c>
      <c r="BR624" t="s">
        <v>97</v>
      </c>
      <c r="BS624" s="3">
        <v>45937</v>
      </c>
      <c r="BT624" s="4">
        <v>0.35416666666666669</v>
      </c>
      <c r="BU624" t="s">
        <v>201</v>
      </c>
      <c r="BV624" t="s">
        <v>86</v>
      </c>
      <c r="BY624">
        <v>8512</v>
      </c>
      <c r="CA624" t="s">
        <v>126</v>
      </c>
      <c r="CC624" t="s">
        <v>122</v>
      </c>
      <c r="CD624">
        <v>4051</v>
      </c>
      <c r="CE624" t="s">
        <v>191</v>
      </c>
      <c r="CF624" s="3">
        <v>45937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"080068346951"</f>
        <v>080068346951</v>
      </c>
      <c r="F625" s="3">
        <v>45936</v>
      </c>
      <c r="G625">
        <v>202607</v>
      </c>
      <c r="H625" t="s">
        <v>79</v>
      </c>
      <c r="I625" t="s">
        <v>80</v>
      </c>
      <c r="J625" t="s">
        <v>91</v>
      </c>
      <c r="K625" t="s">
        <v>78</v>
      </c>
      <c r="L625" t="s">
        <v>108</v>
      </c>
      <c r="M625" t="s">
        <v>109</v>
      </c>
      <c r="N625" t="s">
        <v>229</v>
      </c>
      <c r="O625" t="s">
        <v>82</v>
      </c>
      <c r="P625" t="str">
        <f>"4170063091                    "</f>
        <v xml:space="preserve">4170063091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22.36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1.9</v>
      </c>
      <c r="BK625">
        <v>2</v>
      </c>
      <c r="BL625">
        <v>70.959999999999994</v>
      </c>
      <c r="BM625">
        <v>10.64</v>
      </c>
      <c r="BN625">
        <v>81.599999999999994</v>
      </c>
      <c r="BO625">
        <v>81.599999999999994</v>
      </c>
      <c r="BQ625" t="s">
        <v>230</v>
      </c>
      <c r="BR625" t="s">
        <v>97</v>
      </c>
      <c r="BS625" s="3">
        <v>45937</v>
      </c>
      <c r="BT625" s="4">
        <v>0.36388888888888887</v>
      </c>
      <c r="BU625" t="s">
        <v>1158</v>
      </c>
      <c r="BV625" t="s">
        <v>86</v>
      </c>
      <c r="BY625">
        <v>9600</v>
      </c>
      <c r="CA625" t="s">
        <v>1145</v>
      </c>
      <c r="CC625" t="s">
        <v>109</v>
      </c>
      <c r="CD625">
        <v>6001</v>
      </c>
      <c r="CE625" t="s">
        <v>191</v>
      </c>
      <c r="CF625" s="3">
        <v>45937</v>
      </c>
      <c r="CI625">
        <v>1</v>
      </c>
      <c r="CJ625">
        <v>1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"080068347116"</f>
        <v>080068347116</v>
      </c>
      <c r="F626" s="3">
        <v>45936</v>
      </c>
      <c r="G626">
        <v>202607</v>
      </c>
      <c r="H626" t="s">
        <v>79</v>
      </c>
      <c r="I626" t="s">
        <v>80</v>
      </c>
      <c r="J626" t="s">
        <v>91</v>
      </c>
      <c r="K626" t="s">
        <v>78</v>
      </c>
      <c r="L626" t="s">
        <v>75</v>
      </c>
      <c r="M626" t="s">
        <v>76</v>
      </c>
      <c r="N626" t="s">
        <v>1329</v>
      </c>
      <c r="O626" t="s">
        <v>82</v>
      </c>
      <c r="P626" t="str">
        <f>"4170063128                    "</f>
        <v xml:space="preserve">4170063128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17.46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0.9</v>
      </c>
      <c r="BK626">
        <v>1</v>
      </c>
      <c r="BL626">
        <v>55.42</v>
      </c>
      <c r="BM626">
        <v>8.31</v>
      </c>
      <c r="BN626">
        <v>63.73</v>
      </c>
      <c r="BO626">
        <v>63.73</v>
      </c>
      <c r="BQ626" t="s">
        <v>1330</v>
      </c>
      <c r="BR626" t="s">
        <v>97</v>
      </c>
      <c r="BS626" s="3">
        <v>45937</v>
      </c>
      <c r="BT626" s="4">
        <v>0.375</v>
      </c>
      <c r="BU626" t="s">
        <v>1331</v>
      </c>
      <c r="BV626" t="s">
        <v>86</v>
      </c>
      <c r="BY626">
        <v>4275</v>
      </c>
      <c r="CC626" t="s">
        <v>76</v>
      </c>
      <c r="CD626">
        <v>2162</v>
      </c>
      <c r="CE626" t="s">
        <v>191</v>
      </c>
      <c r="CF626" s="3">
        <v>45937</v>
      </c>
      <c r="CI626">
        <v>1</v>
      </c>
      <c r="CJ626">
        <v>1</v>
      </c>
      <c r="CK626">
        <v>22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"080068347145"</f>
        <v>080068347145</v>
      </c>
      <c r="F627" s="3">
        <v>45936</v>
      </c>
      <c r="G627">
        <v>202607</v>
      </c>
      <c r="H627" t="s">
        <v>79</v>
      </c>
      <c r="I627" t="s">
        <v>80</v>
      </c>
      <c r="J627" t="s">
        <v>91</v>
      </c>
      <c r="K627" t="s">
        <v>78</v>
      </c>
      <c r="L627" t="s">
        <v>114</v>
      </c>
      <c r="M627" t="s">
        <v>115</v>
      </c>
      <c r="N627" t="s">
        <v>746</v>
      </c>
      <c r="O627" t="s">
        <v>82</v>
      </c>
      <c r="P627" t="str">
        <f>"4170063122                    "</f>
        <v xml:space="preserve">4170063122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22.36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70.959999999999994</v>
      </c>
      <c r="BM627">
        <v>10.64</v>
      </c>
      <c r="BN627">
        <v>81.599999999999994</v>
      </c>
      <c r="BO627">
        <v>81.599999999999994</v>
      </c>
      <c r="BQ627" t="s">
        <v>747</v>
      </c>
      <c r="BR627" t="s">
        <v>97</v>
      </c>
      <c r="BS627" s="3">
        <v>45937</v>
      </c>
      <c r="BT627" s="4">
        <v>0.53749999999999998</v>
      </c>
      <c r="BU627" t="s">
        <v>1332</v>
      </c>
      <c r="BV627" t="s">
        <v>90</v>
      </c>
      <c r="BY627">
        <v>1200</v>
      </c>
      <c r="CC627" t="s">
        <v>115</v>
      </c>
      <c r="CD627">
        <v>5201</v>
      </c>
      <c r="CE627" t="s">
        <v>147</v>
      </c>
      <c r="CF627" s="3">
        <v>45937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"080068347168"</f>
        <v>080068347168</v>
      </c>
      <c r="F628" s="3">
        <v>45936</v>
      </c>
      <c r="G628">
        <v>202607</v>
      </c>
      <c r="H628" t="s">
        <v>79</v>
      </c>
      <c r="I628" t="s">
        <v>80</v>
      </c>
      <c r="J628" t="s">
        <v>91</v>
      </c>
      <c r="K628" t="s">
        <v>78</v>
      </c>
      <c r="L628" t="s">
        <v>306</v>
      </c>
      <c r="M628" t="s">
        <v>307</v>
      </c>
      <c r="N628" t="s">
        <v>335</v>
      </c>
      <c r="O628" t="s">
        <v>82</v>
      </c>
      <c r="P628" t="str">
        <f>"4170063163                    "</f>
        <v xml:space="preserve">4170063163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22.36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70.959999999999994</v>
      </c>
      <c r="BM628">
        <v>10.64</v>
      </c>
      <c r="BN628">
        <v>81.599999999999994</v>
      </c>
      <c r="BO628">
        <v>81.599999999999994</v>
      </c>
      <c r="BQ628" t="s">
        <v>475</v>
      </c>
      <c r="BR628" t="s">
        <v>97</v>
      </c>
      <c r="BS628" s="3">
        <v>45937</v>
      </c>
      <c r="BT628" s="4">
        <v>0.60763888888888884</v>
      </c>
      <c r="BU628" t="s">
        <v>1333</v>
      </c>
      <c r="BV628" t="s">
        <v>90</v>
      </c>
      <c r="BW628" t="s">
        <v>136</v>
      </c>
      <c r="BX628" t="s">
        <v>787</v>
      </c>
      <c r="BY628">
        <v>1200</v>
      </c>
      <c r="CC628" t="s">
        <v>307</v>
      </c>
      <c r="CD628">
        <v>4133</v>
      </c>
      <c r="CE628" t="s">
        <v>147</v>
      </c>
      <c r="CF628" s="3">
        <v>45938</v>
      </c>
      <c r="CI628">
        <v>1</v>
      </c>
      <c r="CJ628">
        <v>1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"080068347624"</f>
        <v>080068347624</v>
      </c>
      <c r="F629" s="3">
        <v>45936</v>
      </c>
      <c r="G629">
        <v>202607</v>
      </c>
      <c r="H629" t="s">
        <v>79</v>
      </c>
      <c r="I629" t="s">
        <v>80</v>
      </c>
      <c r="J629" t="s">
        <v>91</v>
      </c>
      <c r="K629" t="s">
        <v>78</v>
      </c>
      <c r="L629" t="s">
        <v>223</v>
      </c>
      <c r="M629" t="s">
        <v>224</v>
      </c>
      <c r="N629" t="s">
        <v>1334</v>
      </c>
      <c r="O629" t="s">
        <v>95</v>
      </c>
      <c r="P629" t="str">
        <f>"4170063075                    "</f>
        <v xml:space="preserve">4170063075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152.33000000000001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2</v>
      </c>
      <c r="BI629">
        <v>137</v>
      </c>
      <c r="BJ629">
        <v>102.8</v>
      </c>
      <c r="BK629">
        <v>137</v>
      </c>
      <c r="BL629">
        <v>489.36</v>
      </c>
      <c r="BM629">
        <v>73.400000000000006</v>
      </c>
      <c r="BN629">
        <v>562.76</v>
      </c>
      <c r="BO629">
        <v>562.76</v>
      </c>
      <c r="BQ629" t="s">
        <v>1335</v>
      </c>
      <c r="BR629" t="s">
        <v>97</v>
      </c>
      <c r="BS629" s="3">
        <v>45937</v>
      </c>
      <c r="BT629" s="4">
        <v>0.3923611111111111</v>
      </c>
      <c r="BU629" t="s">
        <v>1336</v>
      </c>
      <c r="BV629" t="s">
        <v>86</v>
      </c>
      <c r="BY629">
        <v>513864</v>
      </c>
      <c r="CA629" t="s">
        <v>726</v>
      </c>
      <c r="CC629" t="s">
        <v>224</v>
      </c>
      <c r="CD629">
        <v>1459</v>
      </c>
      <c r="CE629" t="s">
        <v>724</v>
      </c>
      <c r="CF629" s="3">
        <v>45937</v>
      </c>
      <c r="CI629">
        <v>1</v>
      </c>
      <c r="CJ629">
        <v>1</v>
      </c>
      <c r="CK629">
        <v>42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"080068347825"</f>
        <v>080068347825</v>
      </c>
      <c r="F630" s="3">
        <v>45936</v>
      </c>
      <c r="G630">
        <v>202607</v>
      </c>
      <c r="H630" t="s">
        <v>79</v>
      </c>
      <c r="I630" t="s">
        <v>80</v>
      </c>
      <c r="J630" t="s">
        <v>91</v>
      </c>
      <c r="K630" t="s">
        <v>78</v>
      </c>
      <c r="L630" t="s">
        <v>79</v>
      </c>
      <c r="M630" t="s">
        <v>80</v>
      </c>
      <c r="N630" t="s">
        <v>539</v>
      </c>
      <c r="O630" t="s">
        <v>82</v>
      </c>
      <c r="P630" t="str">
        <f>"4170063146                    "</f>
        <v xml:space="preserve">4170063146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17.46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55.42</v>
      </c>
      <c r="BM630">
        <v>8.31</v>
      </c>
      <c r="BN630">
        <v>63.73</v>
      </c>
      <c r="BO630">
        <v>63.73</v>
      </c>
      <c r="BQ630" t="s">
        <v>540</v>
      </c>
      <c r="BR630" t="s">
        <v>97</v>
      </c>
      <c r="BS630" s="3">
        <v>45937</v>
      </c>
      <c r="BT630" s="4">
        <v>0.42291666666666666</v>
      </c>
      <c r="BU630" t="s">
        <v>781</v>
      </c>
      <c r="BV630" t="s">
        <v>86</v>
      </c>
      <c r="BY630">
        <v>1200</v>
      </c>
      <c r="CA630" t="s">
        <v>280</v>
      </c>
      <c r="CC630" t="s">
        <v>80</v>
      </c>
      <c r="CD630">
        <v>1614</v>
      </c>
      <c r="CE630" t="s">
        <v>147</v>
      </c>
      <c r="CF630" s="3">
        <v>45938</v>
      </c>
      <c r="CI630">
        <v>1</v>
      </c>
      <c r="CJ630">
        <v>1</v>
      </c>
      <c r="CK630">
        <v>22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"080068347861"</f>
        <v>080068347861</v>
      </c>
      <c r="F631" s="3">
        <v>45936</v>
      </c>
      <c r="G631">
        <v>202607</v>
      </c>
      <c r="H631" t="s">
        <v>79</v>
      </c>
      <c r="I631" t="s">
        <v>80</v>
      </c>
      <c r="J631" t="s">
        <v>91</v>
      </c>
      <c r="K631" t="s">
        <v>78</v>
      </c>
      <c r="L631" t="s">
        <v>218</v>
      </c>
      <c r="M631" t="s">
        <v>219</v>
      </c>
      <c r="N631" t="s">
        <v>443</v>
      </c>
      <c r="O631" t="s">
        <v>82</v>
      </c>
      <c r="P631" t="str">
        <f>"4170063148                    "</f>
        <v xml:space="preserve">4170063148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17.46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55.42</v>
      </c>
      <c r="BM631">
        <v>8.31</v>
      </c>
      <c r="BN631">
        <v>63.73</v>
      </c>
      <c r="BO631">
        <v>63.73</v>
      </c>
      <c r="BQ631" t="s">
        <v>444</v>
      </c>
      <c r="BR631" t="s">
        <v>97</v>
      </c>
      <c r="BS631" s="3">
        <v>45937</v>
      </c>
      <c r="BT631" s="4">
        <v>0.4236111111111111</v>
      </c>
      <c r="BU631" t="s">
        <v>1337</v>
      </c>
      <c r="BV631" t="s">
        <v>86</v>
      </c>
      <c r="BY631">
        <v>1200</v>
      </c>
      <c r="CA631" t="s">
        <v>1338</v>
      </c>
      <c r="CC631" t="s">
        <v>219</v>
      </c>
      <c r="CD631">
        <v>1559</v>
      </c>
      <c r="CE631" t="s">
        <v>147</v>
      </c>
      <c r="CF631" s="3">
        <v>45937</v>
      </c>
      <c r="CI631">
        <v>1</v>
      </c>
      <c r="CJ631">
        <v>1</v>
      </c>
      <c r="CK631">
        <v>22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"080068347874"</f>
        <v>080068347874</v>
      </c>
      <c r="F632" s="3">
        <v>45936</v>
      </c>
      <c r="G632">
        <v>202607</v>
      </c>
      <c r="H632" t="s">
        <v>79</v>
      </c>
      <c r="I632" t="s">
        <v>80</v>
      </c>
      <c r="J632" t="s">
        <v>91</v>
      </c>
      <c r="K632" t="s">
        <v>78</v>
      </c>
      <c r="L632" t="s">
        <v>148</v>
      </c>
      <c r="M632" t="s">
        <v>149</v>
      </c>
      <c r="N632" t="s">
        <v>911</v>
      </c>
      <c r="O632" t="s">
        <v>82</v>
      </c>
      <c r="P632" t="str">
        <f>"4170063160                    "</f>
        <v xml:space="preserve">4170063160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22.36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16.739999999999998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87.7</v>
      </c>
      <c r="BM632">
        <v>13.16</v>
      </c>
      <c r="BN632">
        <v>100.86</v>
      </c>
      <c r="BO632">
        <v>100.86</v>
      </c>
      <c r="BQ632" t="s">
        <v>912</v>
      </c>
      <c r="BR632" t="s">
        <v>97</v>
      </c>
      <c r="BS632" s="3">
        <v>45937</v>
      </c>
      <c r="BT632" s="4">
        <v>0.71597222222222223</v>
      </c>
      <c r="BU632" t="s">
        <v>1339</v>
      </c>
      <c r="BV632" t="s">
        <v>86</v>
      </c>
      <c r="BY632">
        <v>1200</v>
      </c>
      <c r="BZ632" t="s">
        <v>30</v>
      </c>
      <c r="CA632" t="s">
        <v>1340</v>
      </c>
      <c r="CC632" t="s">
        <v>149</v>
      </c>
      <c r="CD632">
        <v>1832</v>
      </c>
      <c r="CE632" t="s">
        <v>147</v>
      </c>
      <c r="CF632" s="3">
        <v>45938</v>
      </c>
      <c r="CI632">
        <v>0</v>
      </c>
      <c r="CJ632">
        <v>0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"080068347883"</f>
        <v>080068347883</v>
      </c>
      <c r="F633" s="3">
        <v>45936</v>
      </c>
      <c r="G633">
        <v>202607</v>
      </c>
      <c r="H633" t="s">
        <v>79</v>
      </c>
      <c r="I633" t="s">
        <v>80</v>
      </c>
      <c r="J633" t="s">
        <v>91</v>
      </c>
      <c r="K633" t="s">
        <v>78</v>
      </c>
      <c r="L633" t="s">
        <v>168</v>
      </c>
      <c r="M633" t="s">
        <v>169</v>
      </c>
      <c r="N633" t="s">
        <v>923</v>
      </c>
      <c r="O633" t="s">
        <v>95</v>
      </c>
      <c r="P633" t="str">
        <f>"4170062822                    "</f>
        <v xml:space="preserve">4170062822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43.23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8</v>
      </c>
      <c r="BJ633">
        <v>3.4</v>
      </c>
      <c r="BK633">
        <v>8</v>
      </c>
      <c r="BL633">
        <v>143.08000000000001</v>
      </c>
      <c r="BM633">
        <v>21.46</v>
      </c>
      <c r="BN633">
        <v>164.54</v>
      </c>
      <c r="BO633">
        <v>164.54</v>
      </c>
      <c r="BQ633" t="s">
        <v>924</v>
      </c>
      <c r="BR633" t="s">
        <v>97</v>
      </c>
      <c r="BS633" s="3">
        <v>45937</v>
      </c>
      <c r="BT633" s="4">
        <v>0.34027777777777779</v>
      </c>
      <c r="BU633" t="s">
        <v>925</v>
      </c>
      <c r="BV633" t="s">
        <v>86</v>
      </c>
      <c r="BY633">
        <v>16965</v>
      </c>
      <c r="CC633" t="s">
        <v>169</v>
      </c>
      <c r="CD633" s="5" t="s">
        <v>926</v>
      </c>
      <c r="CE633" t="s">
        <v>191</v>
      </c>
      <c r="CF633" s="3">
        <v>45937</v>
      </c>
      <c r="CI633">
        <v>1</v>
      </c>
      <c r="CJ633">
        <v>1</v>
      </c>
      <c r="CK633">
        <v>41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"080068347899"</f>
        <v>080068347899</v>
      </c>
      <c r="F634" s="3">
        <v>45936</v>
      </c>
      <c r="G634">
        <v>202607</v>
      </c>
      <c r="H634" t="s">
        <v>79</v>
      </c>
      <c r="I634" t="s">
        <v>80</v>
      </c>
      <c r="J634" t="s">
        <v>91</v>
      </c>
      <c r="K634" t="s">
        <v>78</v>
      </c>
      <c r="L634" t="s">
        <v>271</v>
      </c>
      <c r="M634" t="s">
        <v>272</v>
      </c>
      <c r="N634" t="s">
        <v>1341</v>
      </c>
      <c r="O634" t="s">
        <v>82</v>
      </c>
      <c r="P634" t="str">
        <f>"4170063155                    "</f>
        <v xml:space="preserve">4170063155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17.46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55.42</v>
      </c>
      <c r="BM634">
        <v>8.31</v>
      </c>
      <c r="BN634">
        <v>63.73</v>
      </c>
      <c r="BO634">
        <v>63.73</v>
      </c>
      <c r="BQ634" t="s">
        <v>1342</v>
      </c>
      <c r="BR634" t="s">
        <v>97</v>
      </c>
      <c r="BS634" s="3">
        <v>45937</v>
      </c>
      <c r="BT634" s="4">
        <v>0.30555555555555558</v>
      </c>
      <c r="BU634" t="s">
        <v>1343</v>
      </c>
      <c r="BV634" t="s">
        <v>86</v>
      </c>
      <c r="BY634">
        <v>1200</v>
      </c>
      <c r="CA634" t="s">
        <v>280</v>
      </c>
      <c r="CC634" t="s">
        <v>272</v>
      </c>
      <c r="CD634">
        <v>1401</v>
      </c>
      <c r="CE634" t="s">
        <v>147</v>
      </c>
      <c r="CF634" s="3">
        <v>45938</v>
      </c>
      <c r="CI634">
        <v>1</v>
      </c>
      <c r="CJ634">
        <v>1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"080068347913"</f>
        <v>080068347913</v>
      </c>
      <c r="F635" s="3">
        <v>45936</v>
      </c>
      <c r="G635">
        <v>202607</v>
      </c>
      <c r="H635" t="s">
        <v>79</v>
      </c>
      <c r="I635" t="s">
        <v>80</v>
      </c>
      <c r="J635" t="s">
        <v>91</v>
      </c>
      <c r="K635" t="s">
        <v>78</v>
      </c>
      <c r="L635" t="s">
        <v>121</v>
      </c>
      <c r="M635" t="s">
        <v>122</v>
      </c>
      <c r="N635" t="s">
        <v>123</v>
      </c>
      <c r="O635" t="s">
        <v>82</v>
      </c>
      <c r="P635" t="str">
        <f>"4170063147                    "</f>
        <v xml:space="preserve">4170063147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22.36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70.959999999999994</v>
      </c>
      <c r="BM635">
        <v>10.64</v>
      </c>
      <c r="BN635">
        <v>81.599999999999994</v>
      </c>
      <c r="BO635">
        <v>81.599999999999994</v>
      </c>
      <c r="BQ635" t="s">
        <v>124</v>
      </c>
      <c r="BR635" t="s">
        <v>97</v>
      </c>
      <c r="BS635" s="3">
        <v>45937</v>
      </c>
      <c r="BT635" s="4">
        <v>0.35416666666666669</v>
      </c>
      <c r="BU635" t="s">
        <v>201</v>
      </c>
      <c r="BV635" t="s">
        <v>86</v>
      </c>
      <c r="BY635">
        <v>1200</v>
      </c>
      <c r="CA635" t="s">
        <v>126</v>
      </c>
      <c r="CC635" t="s">
        <v>122</v>
      </c>
      <c r="CD635">
        <v>4000</v>
      </c>
      <c r="CE635" t="s">
        <v>147</v>
      </c>
      <c r="CF635" s="3">
        <v>45937</v>
      </c>
      <c r="CI635">
        <v>1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"080068347927"</f>
        <v>080068347927</v>
      </c>
      <c r="F636" s="3">
        <v>45936</v>
      </c>
      <c r="G636">
        <v>202607</v>
      </c>
      <c r="H636" t="s">
        <v>79</v>
      </c>
      <c r="I636" t="s">
        <v>80</v>
      </c>
      <c r="J636" t="s">
        <v>91</v>
      </c>
      <c r="K636" t="s">
        <v>78</v>
      </c>
      <c r="L636" t="s">
        <v>884</v>
      </c>
      <c r="M636" t="s">
        <v>885</v>
      </c>
      <c r="N636" t="s">
        <v>886</v>
      </c>
      <c r="O636" t="s">
        <v>82</v>
      </c>
      <c r="P636" t="str">
        <f>"4170063154                    "</f>
        <v xml:space="preserve">4170063154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43.31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0.2</v>
      </c>
      <c r="BJ636">
        <v>0.5</v>
      </c>
      <c r="BK636">
        <v>0.5</v>
      </c>
      <c r="BL636">
        <v>137.47</v>
      </c>
      <c r="BM636">
        <v>20.62</v>
      </c>
      <c r="BN636">
        <v>158.09</v>
      </c>
      <c r="BO636">
        <v>158.09</v>
      </c>
      <c r="BQ636" t="s">
        <v>887</v>
      </c>
      <c r="BR636" t="s">
        <v>97</v>
      </c>
      <c r="BS636" s="3">
        <v>45937</v>
      </c>
      <c r="BT636" s="4">
        <v>0.33333333333333331</v>
      </c>
      <c r="BU636" t="s">
        <v>888</v>
      </c>
      <c r="BV636" t="s">
        <v>86</v>
      </c>
      <c r="BY636">
        <v>2536.8000000000002</v>
      </c>
      <c r="CC636" t="s">
        <v>885</v>
      </c>
      <c r="CD636">
        <v>2740</v>
      </c>
      <c r="CE636" t="s">
        <v>147</v>
      </c>
      <c r="CF636" s="3">
        <v>45938</v>
      </c>
      <c r="CI636">
        <v>1</v>
      </c>
      <c r="CJ636">
        <v>1</v>
      </c>
      <c r="CK636">
        <v>23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"080068347945"</f>
        <v>080068347945</v>
      </c>
      <c r="F637" s="3">
        <v>45936</v>
      </c>
      <c r="G637">
        <v>202607</v>
      </c>
      <c r="H637" t="s">
        <v>79</v>
      </c>
      <c r="I637" t="s">
        <v>80</v>
      </c>
      <c r="J637" t="s">
        <v>91</v>
      </c>
      <c r="K637" t="s">
        <v>78</v>
      </c>
      <c r="L637" t="s">
        <v>265</v>
      </c>
      <c r="M637" t="s">
        <v>266</v>
      </c>
      <c r="N637" t="s">
        <v>536</v>
      </c>
      <c r="O637" t="s">
        <v>82</v>
      </c>
      <c r="P637" t="str">
        <f>"4170063072                    "</f>
        <v xml:space="preserve">4170063072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22.36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70.959999999999994</v>
      </c>
      <c r="BM637">
        <v>10.64</v>
      </c>
      <c r="BN637">
        <v>81.599999999999994</v>
      </c>
      <c r="BO637">
        <v>81.599999999999994</v>
      </c>
      <c r="BQ637" t="s">
        <v>537</v>
      </c>
      <c r="BR637" t="s">
        <v>97</v>
      </c>
      <c r="BS637" s="3">
        <v>45937</v>
      </c>
      <c r="BT637" s="4">
        <v>0.33402777777777776</v>
      </c>
      <c r="BU637" t="s">
        <v>258</v>
      </c>
      <c r="BV637" t="s">
        <v>86</v>
      </c>
      <c r="BY637">
        <v>1200</v>
      </c>
      <c r="CA637" t="s">
        <v>818</v>
      </c>
      <c r="CC637" t="s">
        <v>266</v>
      </c>
      <c r="CD637">
        <v>6230</v>
      </c>
      <c r="CE637" t="s">
        <v>147</v>
      </c>
      <c r="CF637" s="3">
        <v>45937</v>
      </c>
      <c r="CI637">
        <v>1</v>
      </c>
      <c r="CJ637">
        <v>1</v>
      </c>
      <c r="CK637">
        <v>21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"080068347960"</f>
        <v>080068347960</v>
      </c>
      <c r="F638" s="3">
        <v>45936</v>
      </c>
      <c r="G638">
        <v>202607</v>
      </c>
      <c r="H638" t="s">
        <v>79</v>
      </c>
      <c r="I638" t="s">
        <v>80</v>
      </c>
      <c r="J638" t="s">
        <v>91</v>
      </c>
      <c r="K638" t="s">
        <v>78</v>
      </c>
      <c r="L638" t="s">
        <v>542</v>
      </c>
      <c r="M638" t="s">
        <v>543</v>
      </c>
      <c r="N638" t="s">
        <v>915</v>
      </c>
      <c r="O638" t="s">
        <v>82</v>
      </c>
      <c r="P638" t="str">
        <f>"4170063074                    "</f>
        <v xml:space="preserve">4170063074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17.46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55.42</v>
      </c>
      <c r="BM638">
        <v>8.31</v>
      </c>
      <c r="BN638">
        <v>63.73</v>
      </c>
      <c r="BO638">
        <v>63.73</v>
      </c>
      <c r="BQ638" t="s">
        <v>916</v>
      </c>
      <c r="BR638" t="s">
        <v>97</v>
      </c>
      <c r="BS638" s="3">
        <v>45937</v>
      </c>
      <c r="BT638" s="4">
        <v>0.42499999999999999</v>
      </c>
      <c r="BU638" t="s">
        <v>1169</v>
      </c>
      <c r="BV638" t="s">
        <v>86</v>
      </c>
      <c r="BY638">
        <v>1200</v>
      </c>
      <c r="CA638" t="s">
        <v>918</v>
      </c>
      <c r="CC638" t="s">
        <v>543</v>
      </c>
      <c r="CD638">
        <v>1682</v>
      </c>
      <c r="CE638" t="s">
        <v>147</v>
      </c>
      <c r="CF638" s="3">
        <v>45938</v>
      </c>
      <c r="CI638">
        <v>1</v>
      </c>
      <c r="CJ638">
        <v>1</v>
      </c>
      <c r="CK638">
        <v>22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"080068347970"</f>
        <v>080068347970</v>
      </c>
      <c r="F639" s="3">
        <v>45936</v>
      </c>
      <c r="G639">
        <v>202607</v>
      </c>
      <c r="H639" t="s">
        <v>79</v>
      </c>
      <c r="I639" t="s">
        <v>80</v>
      </c>
      <c r="J639" t="s">
        <v>91</v>
      </c>
      <c r="K639" t="s">
        <v>78</v>
      </c>
      <c r="L639" t="s">
        <v>206</v>
      </c>
      <c r="M639" t="s">
        <v>207</v>
      </c>
      <c r="N639" t="s">
        <v>427</v>
      </c>
      <c r="O639" t="s">
        <v>82</v>
      </c>
      <c r="P639" t="str">
        <f>"4170063070                    "</f>
        <v xml:space="preserve">4170063070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22.36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70.959999999999994</v>
      </c>
      <c r="BM639">
        <v>10.64</v>
      </c>
      <c r="BN639">
        <v>81.599999999999994</v>
      </c>
      <c r="BO639">
        <v>81.599999999999994</v>
      </c>
      <c r="BQ639" t="s">
        <v>428</v>
      </c>
      <c r="BR639" t="s">
        <v>97</v>
      </c>
      <c r="BS639" s="3">
        <v>45937</v>
      </c>
      <c r="BT639" s="4">
        <v>0.34652777777777777</v>
      </c>
      <c r="BU639" t="s">
        <v>1261</v>
      </c>
      <c r="BV639" t="s">
        <v>86</v>
      </c>
      <c r="BY639">
        <v>1200</v>
      </c>
      <c r="CA639" t="s">
        <v>423</v>
      </c>
      <c r="CC639" t="s">
        <v>207</v>
      </c>
      <c r="CD639">
        <v>7530</v>
      </c>
      <c r="CE639" t="s">
        <v>147</v>
      </c>
      <c r="CF639" s="3">
        <v>45938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"080068347977"</f>
        <v>080068347977</v>
      </c>
      <c r="F640" s="3">
        <v>45936</v>
      </c>
      <c r="G640">
        <v>202607</v>
      </c>
      <c r="H640" t="s">
        <v>79</v>
      </c>
      <c r="I640" t="s">
        <v>80</v>
      </c>
      <c r="J640" t="s">
        <v>91</v>
      </c>
      <c r="K640" t="s">
        <v>78</v>
      </c>
      <c r="L640" t="s">
        <v>1008</v>
      </c>
      <c r="M640" t="s">
        <v>1009</v>
      </c>
      <c r="N640" t="s">
        <v>1344</v>
      </c>
      <c r="O640" t="s">
        <v>82</v>
      </c>
      <c r="P640" t="str">
        <f>"4170062944                    "</f>
        <v xml:space="preserve">4170062944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31.44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16.739999999999998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0.6</v>
      </c>
      <c r="BK640">
        <v>1</v>
      </c>
      <c r="BL640">
        <v>116.53</v>
      </c>
      <c r="BM640">
        <v>17.48</v>
      </c>
      <c r="BN640">
        <v>134.01</v>
      </c>
      <c r="BO640">
        <v>134.01</v>
      </c>
      <c r="BQ640" t="s">
        <v>1345</v>
      </c>
      <c r="BR640" t="s">
        <v>97</v>
      </c>
      <c r="BS640" s="3">
        <v>45937</v>
      </c>
      <c r="BT640" s="4">
        <v>0.63541666666666663</v>
      </c>
      <c r="BU640" t="s">
        <v>1346</v>
      </c>
      <c r="BV640" t="s">
        <v>86</v>
      </c>
      <c r="BY640">
        <v>3192</v>
      </c>
      <c r="BZ640" t="s">
        <v>30</v>
      </c>
      <c r="CA640" t="s">
        <v>1347</v>
      </c>
      <c r="CC640" t="s">
        <v>1009</v>
      </c>
      <c r="CD640">
        <v>1759</v>
      </c>
      <c r="CE640" t="s">
        <v>191</v>
      </c>
      <c r="CF640" s="3">
        <v>45937</v>
      </c>
      <c r="CI640">
        <v>1</v>
      </c>
      <c r="CJ640">
        <v>1</v>
      </c>
      <c r="CK640">
        <v>24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"080068347995"</f>
        <v>080068347995</v>
      </c>
      <c r="F641" s="3">
        <v>45936</v>
      </c>
      <c r="G641">
        <v>202607</v>
      </c>
      <c r="H641" t="s">
        <v>79</v>
      </c>
      <c r="I641" t="s">
        <v>80</v>
      </c>
      <c r="J641" t="s">
        <v>91</v>
      </c>
      <c r="K641" t="s">
        <v>78</v>
      </c>
      <c r="L641" t="s">
        <v>108</v>
      </c>
      <c r="M641" t="s">
        <v>109</v>
      </c>
      <c r="N641" t="s">
        <v>751</v>
      </c>
      <c r="O641" t="s">
        <v>82</v>
      </c>
      <c r="P641" t="str">
        <f>"4170063161                    "</f>
        <v xml:space="preserve">4170063161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22.36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70.959999999999994</v>
      </c>
      <c r="BM641">
        <v>10.64</v>
      </c>
      <c r="BN641">
        <v>81.599999999999994</v>
      </c>
      <c r="BO641">
        <v>81.599999999999994</v>
      </c>
      <c r="BQ641" t="s">
        <v>752</v>
      </c>
      <c r="BR641" t="s">
        <v>97</v>
      </c>
      <c r="BS641" s="3">
        <v>45937</v>
      </c>
      <c r="BT641" s="4">
        <v>0.34375</v>
      </c>
      <c r="BU641" t="s">
        <v>1274</v>
      </c>
      <c r="BV641" t="s">
        <v>86</v>
      </c>
      <c r="BY641">
        <v>1200</v>
      </c>
      <c r="CA641" t="s">
        <v>1090</v>
      </c>
      <c r="CC641" t="s">
        <v>109</v>
      </c>
      <c r="CD641">
        <v>6001</v>
      </c>
      <c r="CE641" t="s">
        <v>147</v>
      </c>
      <c r="CF641" s="3">
        <v>45937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"080068347997"</f>
        <v>080068347997</v>
      </c>
      <c r="F642" s="3">
        <v>45936</v>
      </c>
      <c r="G642">
        <v>202607</v>
      </c>
      <c r="H642" t="s">
        <v>79</v>
      </c>
      <c r="I642" t="s">
        <v>80</v>
      </c>
      <c r="J642" t="s">
        <v>91</v>
      </c>
      <c r="K642" t="s">
        <v>78</v>
      </c>
      <c r="L642" t="s">
        <v>206</v>
      </c>
      <c r="M642" t="s">
        <v>207</v>
      </c>
      <c r="N642" t="s">
        <v>1348</v>
      </c>
      <c r="O642" t="s">
        <v>82</v>
      </c>
      <c r="P642" t="str">
        <f>"4170063112                    "</f>
        <v xml:space="preserve">4170063112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39.11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3.4</v>
      </c>
      <c r="BK642">
        <v>3.5</v>
      </c>
      <c r="BL642">
        <v>124.13</v>
      </c>
      <c r="BM642">
        <v>18.62</v>
      </c>
      <c r="BN642">
        <v>142.75</v>
      </c>
      <c r="BO642">
        <v>142.75</v>
      </c>
      <c r="BQ642" t="s">
        <v>1349</v>
      </c>
      <c r="BR642" t="s">
        <v>97</v>
      </c>
      <c r="BS642" s="3">
        <v>45937</v>
      </c>
      <c r="BT642" s="4">
        <v>0.39513888888888887</v>
      </c>
      <c r="BU642" t="s">
        <v>1350</v>
      </c>
      <c r="BV642" t="s">
        <v>86</v>
      </c>
      <c r="BY642">
        <v>16965</v>
      </c>
      <c r="CA642" t="s">
        <v>1191</v>
      </c>
      <c r="CC642" t="s">
        <v>207</v>
      </c>
      <c r="CD642">
        <v>7780</v>
      </c>
      <c r="CE642" t="s">
        <v>191</v>
      </c>
      <c r="CF642" s="3">
        <v>45938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"080068348010"</f>
        <v>080068348010</v>
      </c>
      <c r="F643" s="3">
        <v>45936</v>
      </c>
      <c r="G643">
        <v>202607</v>
      </c>
      <c r="H643" t="s">
        <v>79</v>
      </c>
      <c r="I643" t="s">
        <v>80</v>
      </c>
      <c r="J643" t="s">
        <v>91</v>
      </c>
      <c r="K643" t="s">
        <v>78</v>
      </c>
      <c r="L643" t="s">
        <v>453</v>
      </c>
      <c r="M643" t="s">
        <v>454</v>
      </c>
      <c r="N643" t="s">
        <v>1290</v>
      </c>
      <c r="O643" t="s">
        <v>82</v>
      </c>
      <c r="P643" t="str">
        <f>"4170063144                    "</f>
        <v xml:space="preserve">4170063144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22.36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70.959999999999994</v>
      </c>
      <c r="BM643">
        <v>10.64</v>
      </c>
      <c r="BN643">
        <v>81.599999999999994</v>
      </c>
      <c r="BO643">
        <v>81.599999999999994</v>
      </c>
      <c r="BQ643" t="s">
        <v>1291</v>
      </c>
      <c r="BR643" t="s">
        <v>97</v>
      </c>
      <c r="BS643" s="3">
        <v>45937</v>
      </c>
      <c r="BT643" s="4">
        <v>0.62222222222222223</v>
      </c>
      <c r="BU643" t="s">
        <v>1292</v>
      </c>
      <c r="BV643" t="s">
        <v>90</v>
      </c>
      <c r="BY643">
        <v>1200</v>
      </c>
      <c r="CA643" t="s">
        <v>742</v>
      </c>
      <c r="CC643" t="s">
        <v>454</v>
      </c>
      <c r="CD643">
        <v>3600</v>
      </c>
      <c r="CE643" t="s">
        <v>147</v>
      </c>
      <c r="CF643" s="3">
        <v>45938</v>
      </c>
      <c r="CI643">
        <v>1</v>
      </c>
      <c r="CJ643">
        <v>1</v>
      </c>
      <c r="CK643">
        <v>21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"080068348013"</f>
        <v>080068348013</v>
      </c>
      <c r="F644" s="3">
        <v>45936</v>
      </c>
      <c r="G644">
        <v>202607</v>
      </c>
      <c r="H644" t="s">
        <v>79</v>
      </c>
      <c r="I644" t="s">
        <v>80</v>
      </c>
      <c r="J644" t="s">
        <v>91</v>
      </c>
      <c r="K644" t="s">
        <v>78</v>
      </c>
      <c r="L644" t="s">
        <v>79</v>
      </c>
      <c r="M644" t="s">
        <v>80</v>
      </c>
      <c r="N644" t="s">
        <v>357</v>
      </c>
      <c r="O644" t="s">
        <v>82</v>
      </c>
      <c r="P644" t="str">
        <f>"4170063036                    "</f>
        <v xml:space="preserve">4170063036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17.46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1.1000000000000001</v>
      </c>
      <c r="BK644">
        <v>2</v>
      </c>
      <c r="BL644">
        <v>55.42</v>
      </c>
      <c r="BM644">
        <v>8.31</v>
      </c>
      <c r="BN644">
        <v>63.73</v>
      </c>
      <c r="BO644">
        <v>63.73</v>
      </c>
      <c r="BQ644" t="s">
        <v>358</v>
      </c>
      <c r="BR644" t="s">
        <v>97</v>
      </c>
      <c r="BS644" s="3">
        <v>45937</v>
      </c>
      <c r="BT644" s="4">
        <v>0.41249999999999998</v>
      </c>
      <c r="BU644" t="s">
        <v>1160</v>
      </c>
      <c r="BV644" t="s">
        <v>86</v>
      </c>
      <c r="BY644">
        <v>5510</v>
      </c>
      <c r="CA644" t="s">
        <v>360</v>
      </c>
      <c r="CC644" t="s">
        <v>80</v>
      </c>
      <c r="CD644">
        <v>1645</v>
      </c>
      <c r="CE644" t="s">
        <v>191</v>
      </c>
      <c r="CF644" s="3">
        <v>45938</v>
      </c>
      <c r="CI644">
        <v>1</v>
      </c>
      <c r="CJ644">
        <v>1</v>
      </c>
      <c r="CK644">
        <v>22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"080068348029"</f>
        <v>080068348029</v>
      </c>
      <c r="F645" s="3">
        <v>45936</v>
      </c>
      <c r="G645">
        <v>202607</v>
      </c>
      <c r="H645" t="s">
        <v>79</v>
      </c>
      <c r="I645" t="s">
        <v>80</v>
      </c>
      <c r="J645" t="s">
        <v>91</v>
      </c>
      <c r="K645" t="s">
        <v>78</v>
      </c>
      <c r="L645" t="s">
        <v>108</v>
      </c>
      <c r="M645" t="s">
        <v>109</v>
      </c>
      <c r="N645" t="s">
        <v>315</v>
      </c>
      <c r="O645" t="s">
        <v>82</v>
      </c>
      <c r="P645" t="str">
        <f>"4170063130                    "</f>
        <v xml:space="preserve">4170063130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22.36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70.959999999999994</v>
      </c>
      <c r="BM645">
        <v>10.64</v>
      </c>
      <c r="BN645">
        <v>81.599999999999994</v>
      </c>
      <c r="BO645">
        <v>81.599999999999994</v>
      </c>
      <c r="BQ645" t="s">
        <v>1351</v>
      </c>
      <c r="BR645" t="s">
        <v>97</v>
      </c>
      <c r="BS645" s="3">
        <v>45937</v>
      </c>
      <c r="BT645" s="4">
        <v>0.34375</v>
      </c>
      <c r="BU645" t="s">
        <v>1352</v>
      </c>
      <c r="BV645" t="s">
        <v>86</v>
      </c>
      <c r="BY645">
        <v>1200</v>
      </c>
      <c r="CA645" t="s">
        <v>1137</v>
      </c>
      <c r="CC645" t="s">
        <v>109</v>
      </c>
      <c r="CD645">
        <v>6045</v>
      </c>
      <c r="CE645" t="s">
        <v>147</v>
      </c>
      <c r="CF645" s="3">
        <v>45937</v>
      </c>
      <c r="CI645">
        <v>1</v>
      </c>
      <c r="CJ645">
        <v>1</v>
      </c>
      <c r="CK645">
        <v>21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"080068348033"</f>
        <v>080068348033</v>
      </c>
      <c r="F646" s="3">
        <v>45936</v>
      </c>
      <c r="G646">
        <v>202607</v>
      </c>
      <c r="H646" t="s">
        <v>79</v>
      </c>
      <c r="I646" t="s">
        <v>80</v>
      </c>
      <c r="J646" t="s">
        <v>91</v>
      </c>
      <c r="K646" t="s">
        <v>78</v>
      </c>
      <c r="L646" t="s">
        <v>168</v>
      </c>
      <c r="M646" t="s">
        <v>169</v>
      </c>
      <c r="N646" t="s">
        <v>873</v>
      </c>
      <c r="O646" t="s">
        <v>82</v>
      </c>
      <c r="P646" t="str">
        <f>"4170062979                    "</f>
        <v xml:space="preserve">4170062979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22.36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0.9</v>
      </c>
      <c r="BK646">
        <v>1</v>
      </c>
      <c r="BL646">
        <v>70.959999999999994</v>
      </c>
      <c r="BM646">
        <v>10.64</v>
      </c>
      <c r="BN646">
        <v>81.599999999999994</v>
      </c>
      <c r="BO646">
        <v>81.599999999999994</v>
      </c>
      <c r="BQ646" t="s">
        <v>874</v>
      </c>
      <c r="BR646" t="s">
        <v>97</v>
      </c>
      <c r="BS646" s="3">
        <v>45938</v>
      </c>
      <c r="BT646" s="4">
        <v>0.61458333333333337</v>
      </c>
      <c r="BU646" t="s">
        <v>1234</v>
      </c>
      <c r="BV646" t="s">
        <v>90</v>
      </c>
      <c r="BY646">
        <v>4560</v>
      </c>
      <c r="CA646" t="s">
        <v>1060</v>
      </c>
      <c r="CC646" t="s">
        <v>169</v>
      </c>
      <c r="CD646" s="5" t="s">
        <v>877</v>
      </c>
      <c r="CE646" t="s">
        <v>191</v>
      </c>
      <c r="CF646" s="3">
        <v>45938</v>
      </c>
      <c r="CI646">
        <v>1</v>
      </c>
      <c r="CJ646">
        <v>2</v>
      </c>
      <c r="CK646">
        <v>21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"080068348052"</f>
        <v>080068348052</v>
      </c>
      <c r="F647" s="3">
        <v>45936</v>
      </c>
      <c r="G647">
        <v>202607</v>
      </c>
      <c r="H647" t="s">
        <v>79</v>
      </c>
      <c r="I647" t="s">
        <v>80</v>
      </c>
      <c r="J647" t="s">
        <v>91</v>
      </c>
      <c r="K647" t="s">
        <v>78</v>
      </c>
      <c r="L647" t="s">
        <v>79</v>
      </c>
      <c r="M647" t="s">
        <v>80</v>
      </c>
      <c r="N647" t="s">
        <v>577</v>
      </c>
      <c r="O647" t="s">
        <v>226</v>
      </c>
      <c r="P647" t="str">
        <f>"4170063042                    "</f>
        <v xml:space="preserve">4170063042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17.47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5</v>
      </c>
      <c r="BJ647">
        <v>4.0999999999999996</v>
      </c>
      <c r="BK647">
        <v>5</v>
      </c>
      <c r="BL647">
        <v>55.44</v>
      </c>
      <c r="BM647">
        <v>8.32</v>
      </c>
      <c r="BN647">
        <v>63.76</v>
      </c>
      <c r="BO647">
        <v>63.76</v>
      </c>
      <c r="BQ647" t="s">
        <v>578</v>
      </c>
      <c r="BR647" t="s">
        <v>97</v>
      </c>
      <c r="BS647" s="3">
        <v>45937</v>
      </c>
      <c r="BT647" s="4">
        <v>0.38750000000000001</v>
      </c>
      <c r="BU647" t="s">
        <v>579</v>
      </c>
      <c r="BV647" t="s">
        <v>86</v>
      </c>
      <c r="BY647">
        <v>20358</v>
      </c>
      <c r="CA647" t="s">
        <v>580</v>
      </c>
      <c r="CC647" t="s">
        <v>80</v>
      </c>
      <c r="CD647">
        <v>1619</v>
      </c>
      <c r="CE647" t="s">
        <v>191</v>
      </c>
      <c r="CF647" s="3">
        <v>45938</v>
      </c>
      <c r="CI647">
        <v>1</v>
      </c>
      <c r="CJ647">
        <v>1</v>
      </c>
      <c r="CK647">
        <v>32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"080068348053"</f>
        <v>080068348053</v>
      </c>
      <c r="F648" s="3">
        <v>45936</v>
      </c>
      <c r="G648">
        <v>202607</v>
      </c>
      <c r="H648" t="s">
        <v>79</v>
      </c>
      <c r="I648" t="s">
        <v>80</v>
      </c>
      <c r="J648" t="s">
        <v>91</v>
      </c>
      <c r="K648" t="s">
        <v>78</v>
      </c>
      <c r="L648" t="s">
        <v>102</v>
      </c>
      <c r="M648" t="s">
        <v>103</v>
      </c>
      <c r="N648" t="s">
        <v>335</v>
      </c>
      <c r="O648" t="s">
        <v>82</v>
      </c>
      <c r="P648" t="str">
        <f>"4170063141                    "</f>
        <v xml:space="preserve">4170063141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17.46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55.42</v>
      </c>
      <c r="BM648">
        <v>8.31</v>
      </c>
      <c r="BN648">
        <v>63.73</v>
      </c>
      <c r="BO648">
        <v>63.73</v>
      </c>
      <c r="BQ648" t="s">
        <v>475</v>
      </c>
      <c r="BR648" t="s">
        <v>97</v>
      </c>
      <c r="BS648" s="3">
        <v>45937</v>
      </c>
      <c r="BT648" s="4">
        <v>0.42777777777777776</v>
      </c>
      <c r="BU648" t="s">
        <v>655</v>
      </c>
      <c r="BV648" t="s">
        <v>86</v>
      </c>
      <c r="BY648">
        <v>1200</v>
      </c>
      <c r="CA648" t="s">
        <v>621</v>
      </c>
      <c r="CC648" t="s">
        <v>103</v>
      </c>
      <c r="CD648">
        <v>1451</v>
      </c>
      <c r="CE648" t="s">
        <v>147</v>
      </c>
      <c r="CF648" s="3">
        <v>45938</v>
      </c>
      <c r="CI648">
        <v>1</v>
      </c>
      <c r="CJ648">
        <v>1</v>
      </c>
      <c r="CK648">
        <v>22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"080068348064"</f>
        <v>080068348064</v>
      </c>
      <c r="F649" s="3">
        <v>45936</v>
      </c>
      <c r="G649">
        <v>202607</v>
      </c>
      <c r="H649" t="s">
        <v>79</v>
      </c>
      <c r="I649" t="s">
        <v>80</v>
      </c>
      <c r="J649" t="s">
        <v>91</v>
      </c>
      <c r="K649" t="s">
        <v>78</v>
      </c>
      <c r="L649" t="s">
        <v>809</v>
      </c>
      <c r="M649" t="s">
        <v>810</v>
      </c>
      <c r="N649" t="s">
        <v>1353</v>
      </c>
      <c r="O649" t="s">
        <v>82</v>
      </c>
      <c r="P649" t="str">
        <f>"4170063125                    "</f>
        <v xml:space="preserve">4170063125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17.46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55.42</v>
      </c>
      <c r="BM649">
        <v>8.31</v>
      </c>
      <c r="BN649">
        <v>63.73</v>
      </c>
      <c r="BO649">
        <v>63.73</v>
      </c>
      <c r="BQ649" t="s">
        <v>1354</v>
      </c>
      <c r="BR649" t="s">
        <v>97</v>
      </c>
      <c r="BS649" s="3">
        <v>45937</v>
      </c>
      <c r="BT649" s="4">
        <v>0.35347222222222224</v>
      </c>
      <c r="BU649" t="s">
        <v>1355</v>
      </c>
      <c r="BV649" t="s">
        <v>86</v>
      </c>
      <c r="BY649">
        <v>1200</v>
      </c>
      <c r="CA649" t="s">
        <v>1356</v>
      </c>
      <c r="CC649" t="s">
        <v>810</v>
      </c>
      <c r="CD649">
        <v>1724</v>
      </c>
      <c r="CE649" t="s">
        <v>147</v>
      </c>
      <c r="CF649" s="3">
        <v>45937</v>
      </c>
      <c r="CI649">
        <v>1</v>
      </c>
      <c r="CJ649">
        <v>1</v>
      </c>
      <c r="CK649">
        <v>22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"080068348083"</f>
        <v>080068348083</v>
      </c>
      <c r="F650" s="3">
        <v>45936</v>
      </c>
      <c r="G650">
        <v>202607</v>
      </c>
      <c r="H650" t="s">
        <v>79</v>
      </c>
      <c r="I650" t="s">
        <v>80</v>
      </c>
      <c r="J650" t="s">
        <v>91</v>
      </c>
      <c r="K650" t="s">
        <v>78</v>
      </c>
      <c r="L650" t="s">
        <v>206</v>
      </c>
      <c r="M650" t="s">
        <v>207</v>
      </c>
      <c r="N650" t="s">
        <v>656</v>
      </c>
      <c r="O650" t="s">
        <v>82</v>
      </c>
      <c r="P650" t="str">
        <f>"4170063081                    "</f>
        <v xml:space="preserve">4170063081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22.36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70.959999999999994</v>
      </c>
      <c r="BM650">
        <v>10.64</v>
      </c>
      <c r="BN650">
        <v>81.599999999999994</v>
      </c>
      <c r="BO650">
        <v>81.599999999999994</v>
      </c>
      <c r="BQ650" t="s">
        <v>657</v>
      </c>
      <c r="BR650" t="s">
        <v>97</v>
      </c>
      <c r="BS650" s="3">
        <v>45937</v>
      </c>
      <c r="BT650" s="4">
        <v>0.4236111111111111</v>
      </c>
      <c r="BU650" t="s">
        <v>658</v>
      </c>
      <c r="BV650" t="s">
        <v>86</v>
      </c>
      <c r="BY650">
        <v>1200</v>
      </c>
      <c r="CA650" t="s">
        <v>211</v>
      </c>
      <c r="CC650" t="s">
        <v>207</v>
      </c>
      <c r="CD650">
        <v>7441</v>
      </c>
      <c r="CE650" t="s">
        <v>147</v>
      </c>
      <c r="CF650" s="3">
        <v>45938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"080068348202"</f>
        <v>080068348202</v>
      </c>
      <c r="F651" s="3">
        <v>45936</v>
      </c>
      <c r="G651">
        <v>202607</v>
      </c>
      <c r="H651" t="s">
        <v>79</v>
      </c>
      <c r="I651" t="s">
        <v>80</v>
      </c>
      <c r="J651" t="s">
        <v>91</v>
      </c>
      <c r="K651" t="s">
        <v>78</v>
      </c>
      <c r="L651" t="s">
        <v>168</v>
      </c>
      <c r="M651" t="s">
        <v>169</v>
      </c>
      <c r="N651" t="s">
        <v>836</v>
      </c>
      <c r="O651" t="s">
        <v>82</v>
      </c>
      <c r="P651" t="str">
        <f>"4170063149                    "</f>
        <v xml:space="preserve">4170063149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22.36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1.2</v>
      </c>
      <c r="BK651">
        <v>1.5</v>
      </c>
      <c r="BL651">
        <v>70.959999999999994</v>
      </c>
      <c r="BM651">
        <v>10.64</v>
      </c>
      <c r="BN651">
        <v>81.599999999999994</v>
      </c>
      <c r="BO651">
        <v>81.599999999999994</v>
      </c>
      <c r="BQ651" t="s">
        <v>837</v>
      </c>
      <c r="BR651" t="s">
        <v>97</v>
      </c>
      <c r="BS651" s="3">
        <v>45937</v>
      </c>
      <c r="BT651" s="4">
        <v>0.55347222222222225</v>
      </c>
      <c r="BU651" t="s">
        <v>838</v>
      </c>
      <c r="BV651" t="s">
        <v>90</v>
      </c>
      <c r="BY651">
        <v>5880</v>
      </c>
      <c r="CC651" t="s">
        <v>169</v>
      </c>
      <c r="CD651" s="5" t="s">
        <v>839</v>
      </c>
      <c r="CE651" t="s">
        <v>107</v>
      </c>
      <c r="CF651" s="3">
        <v>45937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"080068348214"</f>
        <v>080068348214</v>
      </c>
      <c r="F652" s="3">
        <v>45936</v>
      </c>
      <c r="G652">
        <v>202607</v>
      </c>
      <c r="H652" t="s">
        <v>79</v>
      </c>
      <c r="I652" t="s">
        <v>80</v>
      </c>
      <c r="J652" t="s">
        <v>91</v>
      </c>
      <c r="K652" t="s">
        <v>78</v>
      </c>
      <c r="L652" t="s">
        <v>108</v>
      </c>
      <c r="M652" t="s">
        <v>109</v>
      </c>
      <c r="N652" t="s">
        <v>515</v>
      </c>
      <c r="O652" t="s">
        <v>82</v>
      </c>
      <c r="P652" t="str">
        <f>"4170063180                    "</f>
        <v xml:space="preserve">4170063180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22.36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70.959999999999994</v>
      </c>
      <c r="BM652">
        <v>10.64</v>
      </c>
      <c r="BN652">
        <v>81.599999999999994</v>
      </c>
      <c r="BO652">
        <v>81.599999999999994</v>
      </c>
      <c r="BQ652" t="s">
        <v>516</v>
      </c>
      <c r="BR652" t="s">
        <v>97</v>
      </c>
      <c r="BS652" s="3">
        <v>45937</v>
      </c>
      <c r="BT652" s="4">
        <v>0.42222222222222222</v>
      </c>
      <c r="BU652" t="s">
        <v>1289</v>
      </c>
      <c r="BV652" t="s">
        <v>86</v>
      </c>
      <c r="BY652">
        <v>1200</v>
      </c>
      <c r="CA652" t="s">
        <v>1137</v>
      </c>
      <c r="CC652" t="s">
        <v>109</v>
      </c>
      <c r="CD652">
        <v>6001</v>
      </c>
      <c r="CE652" t="s">
        <v>147</v>
      </c>
      <c r="CF652" s="3">
        <v>45937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"080068348223"</f>
        <v>080068348223</v>
      </c>
      <c r="F653" s="3">
        <v>45936</v>
      </c>
      <c r="G653">
        <v>202607</v>
      </c>
      <c r="H653" t="s">
        <v>79</v>
      </c>
      <c r="I653" t="s">
        <v>80</v>
      </c>
      <c r="J653" t="s">
        <v>91</v>
      </c>
      <c r="K653" t="s">
        <v>78</v>
      </c>
      <c r="L653" t="s">
        <v>79</v>
      </c>
      <c r="M653" t="s">
        <v>80</v>
      </c>
      <c r="N653" t="s">
        <v>416</v>
      </c>
      <c r="O653" t="s">
        <v>226</v>
      </c>
      <c r="P653" t="str">
        <f>"4170063028                    "</f>
        <v xml:space="preserve">4170063028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29.22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14</v>
      </c>
      <c r="BJ653">
        <v>5.9</v>
      </c>
      <c r="BK653">
        <v>14</v>
      </c>
      <c r="BL653">
        <v>92.75</v>
      </c>
      <c r="BM653">
        <v>13.91</v>
      </c>
      <c r="BN653">
        <v>106.66</v>
      </c>
      <c r="BO653">
        <v>106.66</v>
      </c>
      <c r="BQ653" t="s">
        <v>417</v>
      </c>
      <c r="BR653" t="s">
        <v>97</v>
      </c>
      <c r="BS653" s="3">
        <v>45937</v>
      </c>
      <c r="BT653" s="4">
        <v>0.31944444444444442</v>
      </c>
      <c r="BU653" t="s">
        <v>418</v>
      </c>
      <c r="BV653" t="s">
        <v>86</v>
      </c>
      <c r="BY653">
        <v>29568</v>
      </c>
      <c r="CA653" t="s">
        <v>419</v>
      </c>
      <c r="CC653" t="s">
        <v>80</v>
      </c>
      <c r="CD653">
        <v>1666</v>
      </c>
      <c r="CE653" t="s">
        <v>107</v>
      </c>
      <c r="CF653" s="3">
        <v>45938</v>
      </c>
      <c r="CI653">
        <v>1</v>
      </c>
      <c r="CJ653">
        <v>1</v>
      </c>
      <c r="CK653">
        <v>32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"080068348226"</f>
        <v>080068348226</v>
      </c>
      <c r="F654" s="3">
        <v>45936</v>
      </c>
      <c r="G654">
        <v>202607</v>
      </c>
      <c r="H654" t="s">
        <v>79</v>
      </c>
      <c r="I654" t="s">
        <v>80</v>
      </c>
      <c r="J654" t="s">
        <v>91</v>
      </c>
      <c r="K654" t="s">
        <v>78</v>
      </c>
      <c r="L654" t="s">
        <v>121</v>
      </c>
      <c r="M654" t="s">
        <v>122</v>
      </c>
      <c r="N654" t="s">
        <v>123</v>
      </c>
      <c r="O654" t="s">
        <v>82</v>
      </c>
      <c r="P654" t="str">
        <f>"4170063116                    "</f>
        <v xml:space="preserve">4170063116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22.36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70.959999999999994</v>
      </c>
      <c r="BM654">
        <v>10.64</v>
      </c>
      <c r="BN654">
        <v>81.599999999999994</v>
      </c>
      <c r="BO654">
        <v>81.599999999999994</v>
      </c>
      <c r="BQ654" t="s">
        <v>124</v>
      </c>
      <c r="BR654" t="s">
        <v>97</v>
      </c>
      <c r="BS654" s="3">
        <v>45937</v>
      </c>
      <c r="BT654" s="4">
        <v>0.35416666666666669</v>
      </c>
      <c r="BU654" t="s">
        <v>201</v>
      </c>
      <c r="BV654" t="s">
        <v>86</v>
      </c>
      <c r="BY654">
        <v>1200</v>
      </c>
      <c r="CA654" t="s">
        <v>126</v>
      </c>
      <c r="CC654" t="s">
        <v>122</v>
      </c>
      <c r="CD654">
        <v>4000</v>
      </c>
      <c r="CE654" t="s">
        <v>147</v>
      </c>
      <c r="CF654" s="3">
        <v>45937</v>
      </c>
      <c r="CI654">
        <v>1</v>
      </c>
      <c r="CJ654">
        <v>1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"080068348239"</f>
        <v>080068348239</v>
      </c>
      <c r="F655" s="3">
        <v>45936</v>
      </c>
      <c r="G655">
        <v>202607</v>
      </c>
      <c r="H655" t="s">
        <v>79</v>
      </c>
      <c r="I655" t="s">
        <v>80</v>
      </c>
      <c r="J655" t="s">
        <v>91</v>
      </c>
      <c r="K655" t="s">
        <v>78</v>
      </c>
      <c r="L655" t="s">
        <v>148</v>
      </c>
      <c r="M655" t="s">
        <v>149</v>
      </c>
      <c r="N655" t="s">
        <v>497</v>
      </c>
      <c r="O655" t="s">
        <v>82</v>
      </c>
      <c r="P655" t="str">
        <f>"4170063029                    "</f>
        <v xml:space="preserve">4170063029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17.46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16.739999999999998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6</v>
      </c>
      <c r="BJ655">
        <v>3.4</v>
      </c>
      <c r="BK655">
        <v>6</v>
      </c>
      <c r="BL655">
        <v>72.16</v>
      </c>
      <c r="BM655">
        <v>10.82</v>
      </c>
      <c r="BN655">
        <v>82.98</v>
      </c>
      <c r="BO655">
        <v>82.98</v>
      </c>
      <c r="BQ655" t="s">
        <v>498</v>
      </c>
      <c r="BR655" t="s">
        <v>97</v>
      </c>
      <c r="BS655" s="3">
        <v>45937</v>
      </c>
      <c r="BT655" s="4">
        <v>0.38541666666666669</v>
      </c>
      <c r="BU655" t="s">
        <v>499</v>
      </c>
      <c r="BV655" t="s">
        <v>86</v>
      </c>
      <c r="BY655">
        <v>16965</v>
      </c>
      <c r="BZ655" t="s">
        <v>30</v>
      </c>
      <c r="CA655" t="s">
        <v>501</v>
      </c>
      <c r="CC655" t="s">
        <v>149</v>
      </c>
      <c r="CD655">
        <v>2188</v>
      </c>
      <c r="CE655" t="s">
        <v>191</v>
      </c>
      <c r="CF655" s="3">
        <v>45938</v>
      </c>
      <c r="CI655">
        <v>1</v>
      </c>
      <c r="CJ655">
        <v>1</v>
      </c>
      <c r="CK655">
        <v>22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"080068348273"</f>
        <v>080068348273</v>
      </c>
      <c r="F656" s="3">
        <v>45936</v>
      </c>
      <c r="G656">
        <v>202607</v>
      </c>
      <c r="H656" t="s">
        <v>79</v>
      </c>
      <c r="I656" t="s">
        <v>80</v>
      </c>
      <c r="J656" t="s">
        <v>91</v>
      </c>
      <c r="K656" t="s">
        <v>78</v>
      </c>
      <c r="L656" t="s">
        <v>206</v>
      </c>
      <c r="M656" t="s">
        <v>207</v>
      </c>
      <c r="N656" t="s">
        <v>208</v>
      </c>
      <c r="O656" t="s">
        <v>82</v>
      </c>
      <c r="P656" t="str">
        <f>"4170063151                    "</f>
        <v xml:space="preserve">4170063151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22.36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70.959999999999994</v>
      </c>
      <c r="BM656">
        <v>10.64</v>
      </c>
      <c r="BN656">
        <v>81.599999999999994</v>
      </c>
      <c r="BO656">
        <v>81.599999999999994</v>
      </c>
      <c r="BQ656" t="s">
        <v>209</v>
      </c>
      <c r="BR656" t="s">
        <v>97</v>
      </c>
      <c r="BS656" s="3">
        <v>45937</v>
      </c>
      <c r="BT656" s="4">
        <v>0.38958333333333334</v>
      </c>
      <c r="BU656" t="s">
        <v>210</v>
      </c>
      <c r="BV656" t="s">
        <v>86</v>
      </c>
      <c r="BY656">
        <v>1200</v>
      </c>
      <c r="CA656" t="s">
        <v>211</v>
      </c>
      <c r="CC656" t="s">
        <v>207</v>
      </c>
      <c r="CD656">
        <v>7441</v>
      </c>
      <c r="CE656" t="s">
        <v>147</v>
      </c>
      <c r="CF656" s="3">
        <v>45938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"080068348294"</f>
        <v>080068348294</v>
      </c>
      <c r="F657" s="3">
        <v>45936</v>
      </c>
      <c r="G657">
        <v>202607</v>
      </c>
      <c r="H657" t="s">
        <v>79</v>
      </c>
      <c r="I657" t="s">
        <v>80</v>
      </c>
      <c r="J657" t="s">
        <v>91</v>
      </c>
      <c r="K657" t="s">
        <v>78</v>
      </c>
      <c r="L657" t="s">
        <v>206</v>
      </c>
      <c r="M657" t="s">
        <v>207</v>
      </c>
      <c r="N657" t="s">
        <v>656</v>
      </c>
      <c r="O657" t="s">
        <v>82</v>
      </c>
      <c r="P657" t="str">
        <f>"4170063113                    "</f>
        <v xml:space="preserve">4170063113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22.36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70.959999999999994</v>
      </c>
      <c r="BM657">
        <v>10.64</v>
      </c>
      <c r="BN657">
        <v>81.599999999999994</v>
      </c>
      <c r="BO657">
        <v>81.599999999999994</v>
      </c>
      <c r="BQ657" t="s">
        <v>657</v>
      </c>
      <c r="BR657" t="s">
        <v>97</v>
      </c>
      <c r="BS657" s="3">
        <v>45937</v>
      </c>
      <c r="BT657" s="4">
        <v>0.4236111111111111</v>
      </c>
      <c r="BU657" t="s">
        <v>658</v>
      </c>
      <c r="BV657" t="s">
        <v>86</v>
      </c>
      <c r="BY657">
        <v>1200</v>
      </c>
      <c r="CA657" t="s">
        <v>211</v>
      </c>
      <c r="CC657" t="s">
        <v>207</v>
      </c>
      <c r="CD657">
        <v>7441</v>
      </c>
      <c r="CE657" t="s">
        <v>147</v>
      </c>
      <c r="CF657" s="3">
        <v>45938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"080068348309"</f>
        <v>080068348309</v>
      </c>
      <c r="F658" s="3">
        <v>45936</v>
      </c>
      <c r="G658">
        <v>202607</v>
      </c>
      <c r="H658" t="s">
        <v>79</v>
      </c>
      <c r="I658" t="s">
        <v>80</v>
      </c>
      <c r="J658" t="s">
        <v>91</v>
      </c>
      <c r="K658" t="s">
        <v>78</v>
      </c>
      <c r="L658" t="s">
        <v>265</v>
      </c>
      <c r="M658" t="s">
        <v>266</v>
      </c>
      <c r="N658" t="s">
        <v>267</v>
      </c>
      <c r="O658" t="s">
        <v>82</v>
      </c>
      <c r="P658" t="str">
        <f>"4170063064                    "</f>
        <v xml:space="preserve">4170063064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22.36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70.959999999999994</v>
      </c>
      <c r="BM658">
        <v>10.64</v>
      </c>
      <c r="BN658">
        <v>81.599999999999994</v>
      </c>
      <c r="BO658">
        <v>81.599999999999994</v>
      </c>
      <c r="BQ658" t="s">
        <v>268</v>
      </c>
      <c r="BR658" t="s">
        <v>97</v>
      </c>
      <c r="BS658" s="3">
        <v>45937</v>
      </c>
      <c r="BT658" s="4">
        <v>0.33888888888888891</v>
      </c>
      <c r="BU658" t="s">
        <v>1357</v>
      </c>
      <c r="BV658" t="s">
        <v>86</v>
      </c>
      <c r="BY658">
        <v>1200</v>
      </c>
      <c r="CA658" t="s">
        <v>818</v>
      </c>
      <c r="CC658" t="s">
        <v>266</v>
      </c>
      <c r="CD658">
        <v>6230</v>
      </c>
      <c r="CE658" t="s">
        <v>147</v>
      </c>
      <c r="CF658" s="3">
        <v>45937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"080068348323"</f>
        <v>080068348323</v>
      </c>
      <c r="F659" s="3">
        <v>45936</v>
      </c>
      <c r="G659">
        <v>202607</v>
      </c>
      <c r="H659" t="s">
        <v>79</v>
      </c>
      <c r="I659" t="s">
        <v>80</v>
      </c>
      <c r="J659" t="s">
        <v>91</v>
      </c>
      <c r="K659" t="s">
        <v>78</v>
      </c>
      <c r="L659" t="s">
        <v>985</v>
      </c>
      <c r="M659" t="s">
        <v>986</v>
      </c>
      <c r="N659" t="s">
        <v>987</v>
      </c>
      <c r="O659" t="s">
        <v>82</v>
      </c>
      <c r="P659" t="str">
        <f>"4170063059                    "</f>
        <v xml:space="preserve">4170063059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22.36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70.959999999999994</v>
      </c>
      <c r="BM659">
        <v>10.64</v>
      </c>
      <c r="BN659">
        <v>81.599999999999994</v>
      </c>
      <c r="BO659">
        <v>81.599999999999994</v>
      </c>
      <c r="BQ659" t="s">
        <v>988</v>
      </c>
      <c r="BR659" t="s">
        <v>97</v>
      </c>
      <c r="BS659" s="3">
        <v>45937</v>
      </c>
      <c r="BT659" s="4">
        <v>0.38333333333333336</v>
      </c>
      <c r="BU659" t="s">
        <v>1358</v>
      </c>
      <c r="BV659" t="s">
        <v>86</v>
      </c>
      <c r="BY659">
        <v>1200</v>
      </c>
      <c r="CA659" t="s">
        <v>1359</v>
      </c>
      <c r="CC659" t="s">
        <v>986</v>
      </c>
      <c r="CD659">
        <v>7600</v>
      </c>
      <c r="CE659" t="s">
        <v>147</v>
      </c>
      <c r="CF659" s="3">
        <v>45938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"080068348322"</f>
        <v>080068348322</v>
      </c>
      <c r="F660" s="3">
        <v>45936</v>
      </c>
      <c r="G660">
        <v>202607</v>
      </c>
      <c r="H660" t="s">
        <v>79</v>
      </c>
      <c r="I660" t="s">
        <v>80</v>
      </c>
      <c r="J660" t="s">
        <v>91</v>
      </c>
      <c r="K660" t="s">
        <v>78</v>
      </c>
      <c r="L660" t="s">
        <v>168</v>
      </c>
      <c r="M660" t="s">
        <v>169</v>
      </c>
      <c r="N660" t="s">
        <v>836</v>
      </c>
      <c r="O660" t="s">
        <v>95</v>
      </c>
      <c r="P660" t="str">
        <f>"4170063026                    "</f>
        <v xml:space="preserve">4170063026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43.23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2</v>
      </c>
      <c r="BI660">
        <v>12</v>
      </c>
      <c r="BJ660">
        <v>11.8</v>
      </c>
      <c r="BK660">
        <v>12</v>
      </c>
      <c r="BL660">
        <v>143.08000000000001</v>
      </c>
      <c r="BM660">
        <v>21.46</v>
      </c>
      <c r="BN660">
        <v>164.54</v>
      </c>
      <c r="BO660">
        <v>164.54</v>
      </c>
      <c r="BQ660" t="s">
        <v>837</v>
      </c>
      <c r="BR660" t="s">
        <v>97</v>
      </c>
      <c r="BS660" s="3">
        <v>45937</v>
      </c>
      <c r="BT660" s="4">
        <v>0.55347222222222225</v>
      </c>
      <c r="BU660" t="s">
        <v>838</v>
      </c>
      <c r="BV660" t="s">
        <v>86</v>
      </c>
      <c r="BY660">
        <v>58848</v>
      </c>
      <c r="CC660" t="s">
        <v>169</v>
      </c>
      <c r="CD660" s="5" t="s">
        <v>839</v>
      </c>
      <c r="CE660" t="s">
        <v>1360</v>
      </c>
      <c r="CF660" s="3">
        <v>45937</v>
      </c>
      <c r="CI660">
        <v>1</v>
      </c>
      <c r="CJ660">
        <v>1</v>
      </c>
      <c r="CK660">
        <v>41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"080068348365"</f>
        <v>080068348365</v>
      </c>
      <c r="F661" s="3">
        <v>45936</v>
      </c>
      <c r="G661">
        <v>202607</v>
      </c>
      <c r="H661" t="s">
        <v>79</v>
      </c>
      <c r="I661" t="s">
        <v>80</v>
      </c>
      <c r="J661" t="s">
        <v>91</v>
      </c>
      <c r="K661" t="s">
        <v>78</v>
      </c>
      <c r="L661" t="s">
        <v>206</v>
      </c>
      <c r="M661" t="s">
        <v>207</v>
      </c>
      <c r="N661" t="s">
        <v>208</v>
      </c>
      <c r="O661" t="s">
        <v>82</v>
      </c>
      <c r="P661" t="str">
        <f>"4170063061                    "</f>
        <v xml:space="preserve">4170063061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22.36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70.959999999999994</v>
      </c>
      <c r="BM661">
        <v>10.64</v>
      </c>
      <c r="BN661">
        <v>81.599999999999994</v>
      </c>
      <c r="BO661">
        <v>81.599999999999994</v>
      </c>
      <c r="BQ661" t="s">
        <v>209</v>
      </c>
      <c r="BR661" t="s">
        <v>97</v>
      </c>
      <c r="BS661" s="3">
        <v>45937</v>
      </c>
      <c r="BT661" s="4">
        <v>0.38958333333333334</v>
      </c>
      <c r="BU661" t="s">
        <v>210</v>
      </c>
      <c r="BV661" t="s">
        <v>86</v>
      </c>
      <c r="BY661">
        <v>1200</v>
      </c>
      <c r="CA661" t="s">
        <v>211</v>
      </c>
      <c r="CC661" t="s">
        <v>207</v>
      </c>
      <c r="CD661">
        <v>7441</v>
      </c>
      <c r="CE661" t="s">
        <v>147</v>
      </c>
      <c r="CF661" s="3">
        <v>45938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"080068348375"</f>
        <v>080068348375</v>
      </c>
      <c r="F662" s="3">
        <v>45936</v>
      </c>
      <c r="G662">
        <v>202607</v>
      </c>
      <c r="H662" t="s">
        <v>79</v>
      </c>
      <c r="I662" t="s">
        <v>80</v>
      </c>
      <c r="J662" t="s">
        <v>91</v>
      </c>
      <c r="K662" t="s">
        <v>78</v>
      </c>
      <c r="L662" t="s">
        <v>108</v>
      </c>
      <c r="M662" t="s">
        <v>109</v>
      </c>
      <c r="N662" t="s">
        <v>229</v>
      </c>
      <c r="O662" t="s">
        <v>82</v>
      </c>
      <c r="P662" t="str">
        <f>"4170063177                    "</f>
        <v xml:space="preserve">4170063177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22.36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70.959999999999994</v>
      </c>
      <c r="BM662">
        <v>10.64</v>
      </c>
      <c r="BN662">
        <v>81.599999999999994</v>
      </c>
      <c r="BO662">
        <v>81.599999999999994</v>
      </c>
      <c r="BQ662" t="s">
        <v>230</v>
      </c>
      <c r="BR662" t="s">
        <v>97</v>
      </c>
      <c r="BS662" s="3">
        <v>45937</v>
      </c>
      <c r="BT662" s="4">
        <v>0.36249999999999999</v>
      </c>
      <c r="BU662" t="s">
        <v>1158</v>
      </c>
      <c r="BV662" t="s">
        <v>86</v>
      </c>
      <c r="BY662">
        <v>1200</v>
      </c>
      <c r="CA662" t="s">
        <v>1145</v>
      </c>
      <c r="CC662" t="s">
        <v>109</v>
      </c>
      <c r="CD662">
        <v>6001</v>
      </c>
      <c r="CE662" t="s">
        <v>147</v>
      </c>
      <c r="CF662" s="3">
        <v>45937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"080068348378"</f>
        <v>080068348378</v>
      </c>
      <c r="F663" s="3">
        <v>45936</v>
      </c>
      <c r="G663">
        <v>202607</v>
      </c>
      <c r="H663" t="s">
        <v>79</v>
      </c>
      <c r="I663" t="s">
        <v>80</v>
      </c>
      <c r="J663" t="s">
        <v>91</v>
      </c>
      <c r="K663" t="s">
        <v>78</v>
      </c>
      <c r="L663" t="s">
        <v>300</v>
      </c>
      <c r="M663" t="s">
        <v>301</v>
      </c>
      <c r="N663" t="s">
        <v>302</v>
      </c>
      <c r="O663" t="s">
        <v>82</v>
      </c>
      <c r="P663" t="str">
        <f>"4170063043                    "</f>
        <v xml:space="preserve">4170063043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31.44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1.7</v>
      </c>
      <c r="BK663">
        <v>2</v>
      </c>
      <c r="BL663">
        <v>99.79</v>
      </c>
      <c r="BM663">
        <v>14.97</v>
      </c>
      <c r="BN663">
        <v>114.76</v>
      </c>
      <c r="BO663">
        <v>114.76</v>
      </c>
      <c r="BQ663" t="s">
        <v>303</v>
      </c>
      <c r="BR663" t="s">
        <v>97</v>
      </c>
      <c r="BS663" s="3">
        <v>45937</v>
      </c>
      <c r="BT663" s="4">
        <v>0.42777777777777776</v>
      </c>
      <c r="BU663" t="s">
        <v>1361</v>
      </c>
      <c r="BV663" t="s">
        <v>86</v>
      </c>
      <c r="BY663">
        <v>8550</v>
      </c>
      <c r="CA663" t="s">
        <v>305</v>
      </c>
      <c r="CC663" t="s">
        <v>301</v>
      </c>
      <c r="CD663">
        <v>1748</v>
      </c>
      <c r="CE663" t="s">
        <v>191</v>
      </c>
      <c r="CF663" s="3">
        <v>45938</v>
      </c>
      <c r="CI663">
        <v>1</v>
      </c>
      <c r="CJ663">
        <v>1</v>
      </c>
      <c r="CK663">
        <v>24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"080068348389"</f>
        <v>080068348389</v>
      </c>
      <c r="F664" s="3">
        <v>45936</v>
      </c>
      <c r="G664">
        <v>202607</v>
      </c>
      <c r="H664" t="s">
        <v>79</v>
      </c>
      <c r="I664" t="s">
        <v>80</v>
      </c>
      <c r="J664" t="s">
        <v>91</v>
      </c>
      <c r="K664" t="s">
        <v>78</v>
      </c>
      <c r="L664" t="s">
        <v>108</v>
      </c>
      <c r="M664" t="s">
        <v>109</v>
      </c>
      <c r="N664" t="s">
        <v>997</v>
      </c>
      <c r="O664" t="s">
        <v>82</v>
      </c>
      <c r="P664" t="str">
        <f>"4170062978                    "</f>
        <v xml:space="preserve">4170062978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22.36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70.959999999999994</v>
      </c>
      <c r="BM664">
        <v>10.64</v>
      </c>
      <c r="BN664">
        <v>81.599999999999994</v>
      </c>
      <c r="BO664">
        <v>81.599999999999994</v>
      </c>
      <c r="BQ664" t="s">
        <v>998</v>
      </c>
      <c r="BR664" t="s">
        <v>97</v>
      </c>
      <c r="BS664" s="3">
        <v>45937</v>
      </c>
      <c r="BT664" s="4">
        <v>0.35625000000000001</v>
      </c>
      <c r="BU664" t="s">
        <v>999</v>
      </c>
      <c r="BV664" t="s">
        <v>86</v>
      </c>
      <c r="BY664">
        <v>1200</v>
      </c>
      <c r="CA664" t="s">
        <v>1000</v>
      </c>
      <c r="CC664" t="s">
        <v>109</v>
      </c>
      <c r="CD664">
        <v>6001</v>
      </c>
      <c r="CE664" t="s">
        <v>147</v>
      </c>
      <c r="CF664" s="3">
        <v>45937</v>
      </c>
      <c r="CI664">
        <v>1</v>
      </c>
      <c r="CJ664">
        <v>1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"080068348400"</f>
        <v>080068348400</v>
      </c>
      <c r="F665" s="3">
        <v>45936</v>
      </c>
      <c r="G665">
        <v>202607</v>
      </c>
      <c r="H665" t="s">
        <v>79</v>
      </c>
      <c r="I665" t="s">
        <v>80</v>
      </c>
      <c r="J665" t="s">
        <v>91</v>
      </c>
      <c r="K665" t="s">
        <v>78</v>
      </c>
      <c r="L665" t="s">
        <v>453</v>
      </c>
      <c r="M665" t="s">
        <v>454</v>
      </c>
      <c r="N665" t="s">
        <v>665</v>
      </c>
      <c r="O665" t="s">
        <v>82</v>
      </c>
      <c r="P665" t="str">
        <f>"4170063035                    "</f>
        <v xml:space="preserve">4170063035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22.36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70.959999999999994</v>
      </c>
      <c r="BM665">
        <v>10.64</v>
      </c>
      <c r="BN665">
        <v>81.599999999999994</v>
      </c>
      <c r="BO665">
        <v>81.599999999999994</v>
      </c>
      <c r="BQ665" t="s">
        <v>666</v>
      </c>
      <c r="BR665" t="s">
        <v>97</v>
      </c>
      <c r="BS665" s="3">
        <v>45937</v>
      </c>
      <c r="BT665" s="4">
        <v>0.59027777777777779</v>
      </c>
      <c r="BU665" t="s">
        <v>1253</v>
      </c>
      <c r="BV665" t="s">
        <v>90</v>
      </c>
      <c r="BY665">
        <v>1200</v>
      </c>
      <c r="CA665" t="s">
        <v>742</v>
      </c>
      <c r="CC665" t="s">
        <v>454</v>
      </c>
      <c r="CD665">
        <v>3610</v>
      </c>
      <c r="CE665" t="s">
        <v>147</v>
      </c>
      <c r="CF665" s="3">
        <v>45938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"080068348402"</f>
        <v>080068348402</v>
      </c>
      <c r="F666" s="3">
        <v>45936</v>
      </c>
      <c r="G666">
        <v>202607</v>
      </c>
      <c r="H666" t="s">
        <v>79</v>
      </c>
      <c r="I666" t="s">
        <v>80</v>
      </c>
      <c r="J666" t="s">
        <v>91</v>
      </c>
      <c r="K666" t="s">
        <v>78</v>
      </c>
      <c r="L666" t="s">
        <v>206</v>
      </c>
      <c r="M666" t="s">
        <v>207</v>
      </c>
      <c r="N666" t="s">
        <v>1200</v>
      </c>
      <c r="O666" t="s">
        <v>82</v>
      </c>
      <c r="P666" t="str">
        <f>"4170063176                    "</f>
        <v xml:space="preserve">4170063176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22.36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1.1000000000000001</v>
      </c>
      <c r="BK666">
        <v>2</v>
      </c>
      <c r="BL666">
        <v>70.959999999999994</v>
      </c>
      <c r="BM666">
        <v>10.64</v>
      </c>
      <c r="BN666">
        <v>81.599999999999994</v>
      </c>
      <c r="BO666">
        <v>81.599999999999994</v>
      </c>
      <c r="BQ666" t="s">
        <v>1201</v>
      </c>
      <c r="BR666" t="s">
        <v>97</v>
      </c>
      <c r="BS666" s="3">
        <v>45937</v>
      </c>
      <c r="BT666" s="4">
        <v>0.39097222222222222</v>
      </c>
      <c r="BU666" t="s">
        <v>1362</v>
      </c>
      <c r="BV666" t="s">
        <v>86</v>
      </c>
      <c r="BY666">
        <v>5320</v>
      </c>
      <c r="CA666" t="s">
        <v>211</v>
      </c>
      <c r="CC666" t="s">
        <v>207</v>
      </c>
      <c r="CD666">
        <v>8001</v>
      </c>
      <c r="CE666" t="s">
        <v>1363</v>
      </c>
      <c r="CF666" s="3">
        <v>45938</v>
      </c>
      <c r="CI666">
        <v>1</v>
      </c>
      <c r="CJ666">
        <v>1</v>
      </c>
      <c r="CK666">
        <v>21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"080068348415"</f>
        <v>080068348415</v>
      </c>
      <c r="F667" s="3">
        <v>45936</v>
      </c>
      <c r="G667">
        <v>202607</v>
      </c>
      <c r="H667" t="s">
        <v>79</v>
      </c>
      <c r="I667" t="s">
        <v>80</v>
      </c>
      <c r="J667" t="s">
        <v>91</v>
      </c>
      <c r="K667" t="s">
        <v>78</v>
      </c>
      <c r="L667" t="s">
        <v>206</v>
      </c>
      <c r="M667" t="s">
        <v>207</v>
      </c>
      <c r="N667" t="s">
        <v>734</v>
      </c>
      <c r="O667" t="s">
        <v>82</v>
      </c>
      <c r="P667" t="str">
        <f>"4170063111                    "</f>
        <v xml:space="preserve">4170063111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22.36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70.959999999999994</v>
      </c>
      <c r="BM667">
        <v>10.64</v>
      </c>
      <c r="BN667">
        <v>81.599999999999994</v>
      </c>
      <c r="BO667">
        <v>81.599999999999994</v>
      </c>
      <c r="BQ667" t="s">
        <v>735</v>
      </c>
      <c r="BR667" t="s">
        <v>97</v>
      </c>
      <c r="BS667" s="3">
        <v>45937</v>
      </c>
      <c r="BT667" s="4">
        <v>0.43194444444444446</v>
      </c>
      <c r="BU667" t="s">
        <v>736</v>
      </c>
      <c r="BV667" t="s">
        <v>86</v>
      </c>
      <c r="BY667">
        <v>1200</v>
      </c>
      <c r="CA667" t="s">
        <v>480</v>
      </c>
      <c r="CC667" t="s">
        <v>207</v>
      </c>
      <c r="CD667">
        <v>7480</v>
      </c>
      <c r="CE667" t="s">
        <v>147</v>
      </c>
      <c r="CF667" s="3">
        <v>45938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"080068348428"</f>
        <v>080068348428</v>
      </c>
      <c r="F668" s="3">
        <v>45936</v>
      </c>
      <c r="G668">
        <v>202607</v>
      </c>
      <c r="H668" t="s">
        <v>79</v>
      </c>
      <c r="I668" t="s">
        <v>80</v>
      </c>
      <c r="J668" t="s">
        <v>91</v>
      </c>
      <c r="K668" t="s">
        <v>78</v>
      </c>
      <c r="L668" t="s">
        <v>121</v>
      </c>
      <c r="M668" t="s">
        <v>122</v>
      </c>
      <c r="N668" t="s">
        <v>154</v>
      </c>
      <c r="O668" t="s">
        <v>82</v>
      </c>
      <c r="P668" t="str">
        <f>"4170063166                    "</f>
        <v xml:space="preserve">4170063166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22.36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70.959999999999994</v>
      </c>
      <c r="BM668">
        <v>10.64</v>
      </c>
      <c r="BN668">
        <v>81.599999999999994</v>
      </c>
      <c r="BO668">
        <v>81.599999999999994</v>
      </c>
      <c r="BQ668" t="s">
        <v>155</v>
      </c>
      <c r="BR668" t="s">
        <v>97</v>
      </c>
      <c r="BS668" s="3">
        <v>45937</v>
      </c>
      <c r="BT668" s="4">
        <v>0.40625</v>
      </c>
      <c r="BU668" t="s">
        <v>1271</v>
      </c>
      <c r="BV668" t="s">
        <v>86</v>
      </c>
      <c r="BY668">
        <v>1200</v>
      </c>
      <c r="CC668" t="s">
        <v>122</v>
      </c>
      <c r="CD668">
        <v>4052</v>
      </c>
      <c r="CE668" t="s">
        <v>147</v>
      </c>
      <c r="CF668" s="3">
        <v>45938</v>
      </c>
      <c r="CI668">
        <v>1</v>
      </c>
      <c r="CJ668">
        <v>1</v>
      </c>
      <c r="CK668">
        <v>21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"080068348429"</f>
        <v>080068348429</v>
      </c>
      <c r="F669" s="3">
        <v>45936</v>
      </c>
      <c r="G669">
        <v>202607</v>
      </c>
      <c r="H669" t="s">
        <v>79</v>
      </c>
      <c r="I669" t="s">
        <v>80</v>
      </c>
      <c r="J669" t="s">
        <v>91</v>
      </c>
      <c r="K669" t="s">
        <v>78</v>
      </c>
      <c r="L669" t="s">
        <v>959</v>
      </c>
      <c r="M669" t="s">
        <v>960</v>
      </c>
      <c r="N669" t="s">
        <v>961</v>
      </c>
      <c r="O669" t="s">
        <v>82</v>
      </c>
      <c r="P669" t="str">
        <f>"4170063171                    "</f>
        <v xml:space="preserve">4170063171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43.31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1.1000000000000001</v>
      </c>
      <c r="BK669">
        <v>1.5</v>
      </c>
      <c r="BL669">
        <v>137.47</v>
      </c>
      <c r="BM669">
        <v>20.62</v>
      </c>
      <c r="BN669">
        <v>158.09</v>
      </c>
      <c r="BO669">
        <v>158.09</v>
      </c>
      <c r="BQ669" t="s">
        <v>962</v>
      </c>
      <c r="BR669" t="s">
        <v>97</v>
      </c>
      <c r="BS669" s="3">
        <v>45937</v>
      </c>
      <c r="BT669" s="4">
        <v>0.51249999999999996</v>
      </c>
      <c r="BU669" t="s">
        <v>304</v>
      </c>
      <c r="BV669" t="s">
        <v>86</v>
      </c>
      <c r="BY669">
        <v>5320</v>
      </c>
      <c r="CA669" t="s">
        <v>1125</v>
      </c>
      <c r="CC669" t="s">
        <v>960</v>
      </c>
      <c r="CD669">
        <v>6300</v>
      </c>
      <c r="CE669" t="s">
        <v>191</v>
      </c>
      <c r="CF669" s="3">
        <v>45937</v>
      </c>
      <c r="CI669">
        <v>2</v>
      </c>
      <c r="CJ669">
        <v>1</v>
      </c>
      <c r="CK669">
        <v>23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"080068348455"</f>
        <v>080068348455</v>
      </c>
      <c r="F670" s="3">
        <v>45936</v>
      </c>
      <c r="G670">
        <v>202607</v>
      </c>
      <c r="H670" t="s">
        <v>79</v>
      </c>
      <c r="I670" t="s">
        <v>80</v>
      </c>
      <c r="J670" t="s">
        <v>91</v>
      </c>
      <c r="K670" t="s">
        <v>78</v>
      </c>
      <c r="L670" t="s">
        <v>180</v>
      </c>
      <c r="M670" t="s">
        <v>181</v>
      </c>
      <c r="N670" t="s">
        <v>1364</v>
      </c>
      <c r="O670" t="s">
        <v>82</v>
      </c>
      <c r="P670" t="str">
        <f>"4170063173                    "</f>
        <v xml:space="preserve">4170063173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43.31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137.47</v>
      </c>
      <c r="BM670">
        <v>20.62</v>
      </c>
      <c r="BN670">
        <v>158.09</v>
      </c>
      <c r="BO670">
        <v>158.09</v>
      </c>
      <c r="BQ670" t="s">
        <v>1365</v>
      </c>
      <c r="BR670" t="s">
        <v>97</v>
      </c>
      <c r="BS670" s="3">
        <v>45937</v>
      </c>
      <c r="BT670" s="4">
        <v>0.54861111111111116</v>
      </c>
      <c r="BU670" t="s">
        <v>1366</v>
      </c>
      <c r="BV670" t="s">
        <v>86</v>
      </c>
      <c r="BY670">
        <v>1200</v>
      </c>
      <c r="CC670" t="s">
        <v>181</v>
      </c>
      <c r="CD670">
        <v>1020</v>
      </c>
      <c r="CE670" t="s">
        <v>147</v>
      </c>
      <c r="CF670" s="3">
        <v>45937</v>
      </c>
      <c r="CI670">
        <v>1</v>
      </c>
      <c r="CJ670">
        <v>1</v>
      </c>
      <c r="CK670">
        <v>23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"080068348466"</f>
        <v>080068348466</v>
      </c>
      <c r="F671" s="3">
        <v>45936</v>
      </c>
      <c r="G671">
        <v>202607</v>
      </c>
      <c r="H671" t="s">
        <v>79</v>
      </c>
      <c r="I671" t="s">
        <v>80</v>
      </c>
      <c r="J671" t="s">
        <v>91</v>
      </c>
      <c r="K671" t="s">
        <v>78</v>
      </c>
      <c r="L671" t="s">
        <v>108</v>
      </c>
      <c r="M671" t="s">
        <v>109</v>
      </c>
      <c r="N671" t="s">
        <v>256</v>
      </c>
      <c r="O671" t="s">
        <v>82</v>
      </c>
      <c r="P671" t="str">
        <f>"4170063030                    "</f>
        <v xml:space="preserve">4170063030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78.2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7</v>
      </c>
      <c r="BJ671">
        <v>3.2</v>
      </c>
      <c r="BK671">
        <v>7</v>
      </c>
      <c r="BL671">
        <v>248.2</v>
      </c>
      <c r="BM671">
        <v>37.229999999999997</v>
      </c>
      <c r="BN671">
        <v>285.43</v>
      </c>
      <c r="BO671">
        <v>285.43</v>
      </c>
      <c r="BQ671" t="s">
        <v>257</v>
      </c>
      <c r="BR671" t="s">
        <v>97</v>
      </c>
      <c r="BS671" s="3">
        <v>45937</v>
      </c>
      <c r="BT671" s="4">
        <v>0.35972222222222222</v>
      </c>
      <c r="BU671" t="s">
        <v>1168</v>
      </c>
      <c r="BV671" t="s">
        <v>86</v>
      </c>
      <c r="BY671">
        <v>16128</v>
      </c>
      <c r="CA671" t="s">
        <v>142</v>
      </c>
      <c r="CC671" t="s">
        <v>109</v>
      </c>
      <c r="CD671">
        <v>6001</v>
      </c>
      <c r="CE671" t="s">
        <v>191</v>
      </c>
      <c r="CF671" s="3">
        <v>45937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"080068348468"</f>
        <v>080068348468</v>
      </c>
      <c r="F672" s="3">
        <v>45936</v>
      </c>
      <c r="G672">
        <v>202607</v>
      </c>
      <c r="H672" t="s">
        <v>79</v>
      </c>
      <c r="I672" t="s">
        <v>80</v>
      </c>
      <c r="J672" t="s">
        <v>91</v>
      </c>
      <c r="K672" t="s">
        <v>78</v>
      </c>
      <c r="L672" t="s">
        <v>206</v>
      </c>
      <c r="M672" t="s">
        <v>207</v>
      </c>
      <c r="N672" t="s">
        <v>427</v>
      </c>
      <c r="O672" t="s">
        <v>82</v>
      </c>
      <c r="P672" t="str">
        <f>"4170063150                    "</f>
        <v xml:space="preserve">4170063150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22.36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70.959999999999994</v>
      </c>
      <c r="BM672">
        <v>10.64</v>
      </c>
      <c r="BN672">
        <v>81.599999999999994</v>
      </c>
      <c r="BO672">
        <v>81.599999999999994</v>
      </c>
      <c r="BQ672" t="s">
        <v>428</v>
      </c>
      <c r="BR672" t="s">
        <v>97</v>
      </c>
      <c r="BS672" s="3">
        <v>45937</v>
      </c>
      <c r="BT672" s="4">
        <v>0.34652777777777777</v>
      </c>
      <c r="BU672" t="s">
        <v>1261</v>
      </c>
      <c r="BV672" t="s">
        <v>86</v>
      </c>
      <c r="BY672">
        <v>1200</v>
      </c>
      <c r="CA672" t="s">
        <v>423</v>
      </c>
      <c r="CC672" t="s">
        <v>207</v>
      </c>
      <c r="CD672">
        <v>7530</v>
      </c>
      <c r="CE672" t="s">
        <v>147</v>
      </c>
      <c r="CF672" s="3">
        <v>45938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"080068348486"</f>
        <v>080068348486</v>
      </c>
      <c r="F673" s="3">
        <v>45936</v>
      </c>
      <c r="G673">
        <v>202607</v>
      </c>
      <c r="H673" t="s">
        <v>79</v>
      </c>
      <c r="I673" t="s">
        <v>80</v>
      </c>
      <c r="J673" t="s">
        <v>91</v>
      </c>
      <c r="K673" t="s">
        <v>78</v>
      </c>
      <c r="L673" t="s">
        <v>763</v>
      </c>
      <c r="M673" t="s">
        <v>764</v>
      </c>
      <c r="N673" t="s">
        <v>765</v>
      </c>
      <c r="O673" t="s">
        <v>82</v>
      </c>
      <c r="P673" t="str">
        <f>"4170063013                    "</f>
        <v xml:space="preserve">4170063013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43.31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0.8</v>
      </c>
      <c r="BJ673">
        <v>1.7</v>
      </c>
      <c r="BK673">
        <v>2</v>
      </c>
      <c r="BL673">
        <v>137.47</v>
      </c>
      <c r="BM673">
        <v>20.62</v>
      </c>
      <c r="BN673">
        <v>158.09</v>
      </c>
      <c r="BO673">
        <v>158.09</v>
      </c>
      <c r="BQ673" t="s">
        <v>766</v>
      </c>
      <c r="BR673" t="s">
        <v>97</v>
      </c>
      <c r="BS673" s="3">
        <v>45937</v>
      </c>
      <c r="BT673" s="4">
        <v>0.42708333333333331</v>
      </c>
      <c r="BU673" t="s">
        <v>1175</v>
      </c>
      <c r="BV673" t="s">
        <v>86</v>
      </c>
      <c r="BY673">
        <v>8570.25</v>
      </c>
      <c r="CA673" t="s">
        <v>768</v>
      </c>
      <c r="CC673" t="s">
        <v>764</v>
      </c>
      <c r="CD673">
        <v>2531</v>
      </c>
      <c r="CE673" t="s">
        <v>191</v>
      </c>
      <c r="CF673" s="3">
        <v>45938</v>
      </c>
      <c r="CI673">
        <v>1</v>
      </c>
      <c r="CJ673">
        <v>1</v>
      </c>
      <c r="CK673">
        <v>23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"080011641338"</f>
        <v>080011641338</v>
      </c>
      <c r="F674" s="3">
        <v>45937</v>
      </c>
      <c r="G674">
        <v>202607</v>
      </c>
      <c r="H674" t="s">
        <v>108</v>
      </c>
      <c r="I674" t="s">
        <v>109</v>
      </c>
      <c r="J674" t="s">
        <v>714</v>
      </c>
      <c r="K674" t="s">
        <v>78</v>
      </c>
      <c r="L674" t="s">
        <v>79</v>
      </c>
      <c r="M674" t="s">
        <v>80</v>
      </c>
      <c r="N674" t="s">
        <v>81</v>
      </c>
      <c r="O674" t="s">
        <v>95</v>
      </c>
      <c r="P674" t="str">
        <f>"ZA1001413375                  "</f>
        <v xml:space="preserve">ZA1001413375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327.01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149</v>
      </c>
      <c r="BJ674">
        <v>173.7</v>
      </c>
      <c r="BK674">
        <v>174</v>
      </c>
      <c r="BL674">
        <v>1043.78</v>
      </c>
      <c r="BM674">
        <v>156.57</v>
      </c>
      <c r="BN674">
        <v>1200.3499999999999</v>
      </c>
      <c r="BO674">
        <v>1200.3499999999999</v>
      </c>
      <c r="BP674" t="s">
        <v>1367</v>
      </c>
      <c r="BQ674" t="s">
        <v>83</v>
      </c>
      <c r="BR674" t="s">
        <v>715</v>
      </c>
      <c r="BS674" s="3">
        <v>45939</v>
      </c>
      <c r="BT674" s="4">
        <v>0.65486111111111112</v>
      </c>
      <c r="BU674" t="s">
        <v>85</v>
      </c>
      <c r="BV674" t="s">
        <v>86</v>
      </c>
      <c r="BY674">
        <v>868725</v>
      </c>
      <c r="BZ674" t="s">
        <v>99</v>
      </c>
      <c r="CA674" t="s">
        <v>1368</v>
      </c>
      <c r="CC674" t="s">
        <v>80</v>
      </c>
      <c r="CD674">
        <v>1619</v>
      </c>
      <c r="CE674" t="s">
        <v>89</v>
      </c>
      <c r="CF674" s="3">
        <v>45939</v>
      </c>
      <c r="CI674">
        <v>3</v>
      </c>
      <c r="CJ674">
        <v>2</v>
      </c>
      <c r="CK674">
        <v>41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"080068367214"</f>
        <v>080068367214</v>
      </c>
      <c r="F675" s="3">
        <v>45937</v>
      </c>
      <c r="G675">
        <v>202607</v>
      </c>
      <c r="H675" t="s">
        <v>79</v>
      </c>
      <c r="I675" t="s">
        <v>80</v>
      </c>
      <c r="J675" t="s">
        <v>91</v>
      </c>
      <c r="K675" t="s">
        <v>78</v>
      </c>
      <c r="L675" t="s">
        <v>1369</v>
      </c>
      <c r="M675" t="s">
        <v>1370</v>
      </c>
      <c r="N675" t="s">
        <v>1371</v>
      </c>
      <c r="O675" t="s">
        <v>82</v>
      </c>
      <c r="P675" t="str">
        <f>"009943879266                  "</f>
        <v xml:space="preserve">009943879266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43.31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1.9</v>
      </c>
      <c r="BK675">
        <v>2</v>
      </c>
      <c r="BL675">
        <v>137.47</v>
      </c>
      <c r="BM675">
        <v>20.62</v>
      </c>
      <c r="BN675">
        <v>158.09</v>
      </c>
      <c r="BO675">
        <v>158.09</v>
      </c>
      <c r="BQ675" t="s">
        <v>1372</v>
      </c>
      <c r="BR675" t="s">
        <v>97</v>
      </c>
      <c r="BS675" s="3">
        <v>45938</v>
      </c>
      <c r="BT675" s="4">
        <v>0.47083333333333333</v>
      </c>
      <c r="BU675" t="s">
        <v>1373</v>
      </c>
      <c r="BV675" t="s">
        <v>90</v>
      </c>
      <c r="BW675" t="s">
        <v>731</v>
      </c>
      <c r="BX675" t="s">
        <v>1374</v>
      </c>
      <c r="BY675">
        <v>9504</v>
      </c>
      <c r="CA675" t="s">
        <v>1375</v>
      </c>
      <c r="CC675" t="s">
        <v>1370</v>
      </c>
      <c r="CD675">
        <v>3900</v>
      </c>
      <c r="CE675" t="s">
        <v>191</v>
      </c>
      <c r="CF675" s="3">
        <v>45944</v>
      </c>
      <c r="CI675">
        <v>1</v>
      </c>
      <c r="CJ675">
        <v>1</v>
      </c>
      <c r="CK675">
        <v>23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"080068367288"</f>
        <v>080068367288</v>
      </c>
      <c r="F676" s="3">
        <v>45937</v>
      </c>
      <c r="G676">
        <v>202607</v>
      </c>
      <c r="H676" t="s">
        <v>79</v>
      </c>
      <c r="I676" t="s">
        <v>80</v>
      </c>
      <c r="J676" t="s">
        <v>91</v>
      </c>
      <c r="K676" t="s">
        <v>78</v>
      </c>
      <c r="L676" t="s">
        <v>92</v>
      </c>
      <c r="M676" t="s">
        <v>93</v>
      </c>
      <c r="N676" t="s">
        <v>601</v>
      </c>
      <c r="O676" t="s">
        <v>95</v>
      </c>
      <c r="P676" t="str">
        <f>"4170063181                    "</f>
        <v xml:space="preserve">4170063181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50.37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19</v>
      </c>
      <c r="BJ676">
        <v>17.7</v>
      </c>
      <c r="BK676">
        <v>19</v>
      </c>
      <c r="BL676">
        <v>165.74</v>
      </c>
      <c r="BM676">
        <v>24.86</v>
      </c>
      <c r="BN676">
        <v>190.6</v>
      </c>
      <c r="BO676">
        <v>190.6</v>
      </c>
      <c r="BQ676" t="s">
        <v>602</v>
      </c>
      <c r="BR676" t="s">
        <v>97</v>
      </c>
      <c r="BS676" s="3">
        <v>45938</v>
      </c>
      <c r="BT676" s="4">
        <v>0.4513888888888889</v>
      </c>
      <c r="BU676" t="s">
        <v>1376</v>
      </c>
      <c r="BV676" t="s">
        <v>86</v>
      </c>
      <c r="BY676">
        <v>88320</v>
      </c>
      <c r="CC676" t="s">
        <v>93</v>
      </c>
      <c r="CD676">
        <v>3212</v>
      </c>
      <c r="CE676" t="s">
        <v>191</v>
      </c>
      <c r="CF676" s="3">
        <v>45939</v>
      </c>
      <c r="CI676">
        <v>3</v>
      </c>
      <c r="CJ676">
        <v>1</v>
      </c>
      <c r="CK676">
        <v>41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"R080068290723"</f>
        <v>R080068290723</v>
      </c>
      <c r="F677" s="3">
        <v>45937</v>
      </c>
      <c r="G677">
        <v>202607</v>
      </c>
      <c r="H677" t="s">
        <v>218</v>
      </c>
      <c r="I677" t="s">
        <v>219</v>
      </c>
      <c r="J677" t="s">
        <v>220</v>
      </c>
      <c r="K677" t="s">
        <v>78</v>
      </c>
      <c r="L677" t="s">
        <v>218</v>
      </c>
      <c r="M677" t="s">
        <v>219</v>
      </c>
      <c r="N677" t="s">
        <v>1377</v>
      </c>
      <c r="O677" t="s">
        <v>95</v>
      </c>
      <c r="P677" t="str">
        <f>"4170062844                    "</f>
        <v xml:space="preserve">4170062844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67.489999999999995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4</v>
      </c>
      <c r="BI677">
        <v>28</v>
      </c>
      <c r="BJ677">
        <v>49.9</v>
      </c>
      <c r="BK677">
        <v>50</v>
      </c>
      <c r="BL677">
        <v>220.08</v>
      </c>
      <c r="BM677">
        <v>33.01</v>
      </c>
      <c r="BN677">
        <v>253.09</v>
      </c>
      <c r="BO677">
        <v>253.09</v>
      </c>
      <c r="BQ677" t="s">
        <v>1378</v>
      </c>
      <c r="BR677" t="s">
        <v>221</v>
      </c>
      <c r="BS677" s="3">
        <v>45938</v>
      </c>
      <c r="BT677" s="4">
        <v>0.47291666666666665</v>
      </c>
      <c r="BU677" t="s">
        <v>359</v>
      </c>
      <c r="BV677" t="s">
        <v>86</v>
      </c>
      <c r="BY677">
        <v>62400</v>
      </c>
      <c r="CA677" t="s">
        <v>1379</v>
      </c>
      <c r="CC677" t="s">
        <v>219</v>
      </c>
      <c r="CD677">
        <v>1559</v>
      </c>
      <c r="CE677" t="s">
        <v>1088</v>
      </c>
      <c r="CF677" s="3">
        <v>45939</v>
      </c>
      <c r="CI677">
        <v>1</v>
      </c>
      <c r="CJ677">
        <v>1</v>
      </c>
      <c r="CK677">
        <v>42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"080068367860"</f>
        <v>080068367860</v>
      </c>
      <c r="F678" s="3">
        <v>45937</v>
      </c>
      <c r="G678">
        <v>202607</v>
      </c>
      <c r="H678" t="s">
        <v>79</v>
      </c>
      <c r="I678" t="s">
        <v>80</v>
      </c>
      <c r="J678" t="s">
        <v>91</v>
      </c>
      <c r="K678" t="s">
        <v>78</v>
      </c>
      <c r="L678" t="s">
        <v>121</v>
      </c>
      <c r="M678" t="s">
        <v>122</v>
      </c>
      <c r="N678" t="s">
        <v>154</v>
      </c>
      <c r="O678" t="s">
        <v>82</v>
      </c>
      <c r="P678" t="str">
        <f>"4170063242                    "</f>
        <v xml:space="preserve">4170063242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22.36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70.959999999999994</v>
      </c>
      <c r="BM678">
        <v>10.64</v>
      </c>
      <c r="BN678">
        <v>81.599999999999994</v>
      </c>
      <c r="BO678">
        <v>81.599999999999994</v>
      </c>
      <c r="BQ678" t="s">
        <v>155</v>
      </c>
      <c r="BR678" t="s">
        <v>97</v>
      </c>
      <c r="BS678" s="3">
        <v>45938</v>
      </c>
      <c r="BT678" s="4">
        <v>0.78888888888888886</v>
      </c>
      <c r="BU678" t="s">
        <v>156</v>
      </c>
      <c r="BV678" t="s">
        <v>90</v>
      </c>
      <c r="BW678" t="s">
        <v>136</v>
      </c>
      <c r="BX678" t="s">
        <v>1222</v>
      </c>
      <c r="BY678">
        <v>1200</v>
      </c>
      <c r="CA678" t="s">
        <v>157</v>
      </c>
      <c r="CC678" t="s">
        <v>122</v>
      </c>
      <c r="CD678">
        <v>4052</v>
      </c>
      <c r="CE678" t="s">
        <v>147</v>
      </c>
      <c r="CF678" s="3">
        <v>45938</v>
      </c>
      <c r="CI678">
        <v>1</v>
      </c>
      <c r="CJ678">
        <v>1</v>
      </c>
      <c r="CK678">
        <v>21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"080068367881"</f>
        <v>080068367881</v>
      </c>
      <c r="F679" s="3">
        <v>45937</v>
      </c>
      <c r="G679">
        <v>202607</v>
      </c>
      <c r="H679" t="s">
        <v>79</v>
      </c>
      <c r="I679" t="s">
        <v>80</v>
      </c>
      <c r="J679" t="s">
        <v>91</v>
      </c>
      <c r="K679" t="s">
        <v>78</v>
      </c>
      <c r="L679" t="s">
        <v>322</v>
      </c>
      <c r="M679" t="s">
        <v>322</v>
      </c>
      <c r="N679" t="s">
        <v>483</v>
      </c>
      <c r="O679" t="s">
        <v>82</v>
      </c>
      <c r="P679" t="str">
        <f>"4170063392                    "</f>
        <v xml:space="preserve">4170063392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43.31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137.47</v>
      </c>
      <c r="BM679">
        <v>20.62</v>
      </c>
      <c r="BN679">
        <v>158.09</v>
      </c>
      <c r="BO679">
        <v>158.09</v>
      </c>
      <c r="BQ679" t="s">
        <v>486</v>
      </c>
      <c r="BR679" t="s">
        <v>97</v>
      </c>
      <c r="BS679" s="3">
        <v>45938</v>
      </c>
      <c r="BT679" s="4">
        <v>0.54027777777777775</v>
      </c>
      <c r="BU679" t="s">
        <v>485</v>
      </c>
      <c r="BV679" t="s">
        <v>86</v>
      </c>
      <c r="BY679">
        <v>1200</v>
      </c>
      <c r="CA679" t="s">
        <v>326</v>
      </c>
      <c r="CC679" t="s">
        <v>322</v>
      </c>
      <c r="CD679">
        <v>7646</v>
      </c>
      <c r="CE679" t="s">
        <v>147</v>
      </c>
      <c r="CF679" s="3">
        <v>45939</v>
      </c>
      <c r="CI679">
        <v>1</v>
      </c>
      <c r="CJ679">
        <v>1</v>
      </c>
      <c r="CK679">
        <v>23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"080068367918"</f>
        <v>080068367918</v>
      </c>
      <c r="F680" s="3">
        <v>45937</v>
      </c>
      <c r="G680">
        <v>202607</v>
      </c>
      <c r="H680" t="s">
        <v>79</v>
      </c>
      <c r="I680" t="s">
        <v>80</v>
      </c>
      <c r="J680" t="s">
        <v>91</v>
      </c>
      <c r="K680" t="s">
        <v>78</v>
      </c>
      <c r="L680" t="s">
        <v>884</v>
      </c>
      <c r="M680" t="s">
        <v>885</v>
      </c>
      <c r="N680" t="s">
        <v>886</v>
      </c>
      <c r="O680" t="s">
        <v>82</v>
      </c>
      <c r="P680" t="str">
        <f>"4170063188                    "</f>
        <v xml:space="preserve">4170063188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43.31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137.47</v>
      </c>
      <c r="BM680">
        <v>20.62</v>
      </c>
      <c r="BN680">
        <v>158.09</v>
      </c>
      <c r="BO680">
        <v>158.09</v>
      </c>
      <c r="BQ680" t="s">
        <v>887</v>
      </c>
      <c r="BR680" t="s">
        <v>97</v>
      </c>
      <c r="BS680" s="3">
        <v>45938</v>
      </c>
      <c r="BT680" s="4">
        <v>0.3576388888888889</v>
      </c>
      <c r="BU680" t="s">
        <v>888</v>
      </c>
      <c r="BV680" t="s">
        <v>86</v>
      </c>
      <c r="BY680">
        <v>1200</v>
      </c>
      <c r="CC680" t="s">
        <v>885</v>
      </c>
      <c r="CD680">
        <v>2740</v>
      </c>
      <c r="CE680" t="s">
        <v>147</v>
      </c>
      <c r="CF680" s="3">
        <v>45939</v>
      </c>
      <c r="CI680">
        <v>1</v>
      </c>
      <c r="CJ680">
        <v>1</v>
      </c>
      <c r="CK680">
        <v>23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"080068367988"</f>
        <v>080068367988</v>
      </c>
      <c r="F681" s="3">
        <v>45937</v>
      </c>
      <c r="G681">
        <v>202607</v>
      </c>
      <c r="H681" t="s">
        <v>79</v>
      </c>
      <c r="I681" t="s">
        <v>80</v>
      </c>
      <c r="J681" t="s">
        <v>91</v>
      </c>
      <c r="K681" t="s">
        <v>78</v>
      </c>
      <c r="L681" t="s">
        <v>121</v>
      </c>
      <c r="M681" t="s">
        <v>122</v>
      </c>
      <c r="N681" t="s">
        <v>1380</v>
      </c>
      <c r="O681" t="s">
        <v>82</v>
      </c>
      <c r="P681" t="str">
        <f>"4170063184                    "</f>
        <v xml:space="preserve">4170063184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22.36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1</v>
      </c>
      <c r="BK681">
        <v>1</v>
      </c>
      <c r="BL681">
        <v>70.959999999999994</v>
      </c>
      <c r="BM681">
        <v>10.64</v>
      </c>
      <c r="BN681">
        <v>81.599999999999994</v>
      </c>
      <c r="BO681">
        <v>81.599999999999994</v>
      </c>
      <c r="BQ681" t="s">
        <v>1381</v>
      </c>
      <c r="BR681" t="s">
        <v>97</v>
      </c>
      <c r="BS681" s="3">
        <v>45938</v>
      </c>
      <c r="BT681" s="4">
        <v>0.50763888888888886</v>
      </c>
      <c r="BU681" t="s">
        <v>1382</v>
      </c>
      <c r="BV681" t="s">
        <v>90</v>
      </c>
      <c r="BW681" t="s">
        <v>136</v>
      </c>
      <c r="BX681" t="s">
        <v>1222</v>
      </c>
      <c r="BY681">
        <v>5184</v>
      </c>
      <c r="CA681" t="s">
        <v>157</v>
      </c>
      <c r="CC681" t="s">
        <v>122</v>
      </c>
      <c r="CD681">
        <v>4001</v>
      </c>
      <c r="CE681" t="s">
        <v>107</v>
      </c>
      <c r="CF681" s="3">
        <v>45938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"080068368110"</f>
        <v>080068368110</v>
      </c>
      <c r="F682" s="3">
        <v>45937</v>
      </c>
      <c r="G682">
        <v>202607</v>
      </c>
      <c r="H682" t="s">
        <v>79</v>
      </c>
      <c r="I682" t="s">
        <v>80</v>
      </c>
      <c r="J682" t="s">
        <v>91</v>
      </c>
      <c r="K682" t="s">
        <v>78</v>
      </c>
      <c r="L682" t="s">
        <v>1383</v>
      </c>
      <c r="M682" t="s">
        <v>1384</v>
      </c>
      <c r="N682" t="s">
        <v>1385</v>
      </c>
      <c r="O682" t="s">
        <v>82</v>
      </c>
      <c r="P682" t="str">
        <f>"4170063243                    "</f>
        <v xml:space="preserve">4170063243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43.31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1.7</v>
      </c>
      <c r="BK682">
        <v>2</v>
      </c>
      <c r="BL682">
        <v>137.47</v>
      </c>
      <c r="BM682">
        <v>20.62</v>
      </c>
      <c r="BN682">
        <v>158.09</v>
      </c>
      <c r="BO682">
        <v>158.09</v>
      </c>
      <c r="BQ682" t="s">
        <v>1386</v>
      </c>
      <c r="BR682" t="s">
        <v>97</v>
      </c>
      <c r="BS682" s="3">
        <v>45939</v>
      </c>
      <c r="BT682" s="4">
        <v>0.35069444444444442</v>
      </c>
      <c r="BU682" t="s">
        <v>1387</v>
      </c>
      <c r="BV682" t="s">
        <v>86</v>
      </c>
      <c r="BY682">
        <v>8265</v>
      </c>
      <c r="CC682" t="s">
        <v>1384</v>
      </c>
      <c r="CD682">
        <v>4252</v>
      </c>
      <c r="CE682" t="s">
        <v>191</v>
      </c>
      <c r="CF682" s="3">
        <v>45939</v>
      </c>
      <c r="CI682">
        <v>2</v>
      </c>
      <c r="CJ682">
        <v>2</v>
      </c>
      <c r="CK682">
        <v>23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"080068368137"</f>
        <v>080068368137</v>
      </c>
      <c r="F683" s="3">
        <v>45937</v>
      </c>
      <c r="G683">
        <v>202607</v>
      </c>
      <c r="H683" t="s">
        <v>79</v>
      </c>
      <c r="I683" t="s">
        <v>80</v>
      </c>
      <c r="J683" t="s">
        <v>91</v>
      </c>
      <c r="K683" t="s">
        <v>78</v>
      </c>
      <c r="L683" t="s">
        <v>121</v>
      </c>
      <c r="M683" t="s">
        <v>122</v>
      </c>
      <c r="N683" t="s">
        <v>123</v>
      </c>
      <c r="O683" t="s">
        <v>82</v>
      </c>
      <c r="P683" t="str">
        <f>"4170063068                    "</f>
        <v xml:space="preserve">4170063068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33.520000000000003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3</v>
      </c>
      <c r="BJ683">
        <v>1.7</v>
      </c>
      <c r="BK683">
        <v>3</v>
      </c>
      <c r="BL683">
        <v>106.4</v>
      </c>
      <c r="BM683">
        <v>15.96</v>
      </c>
      <c r="BN683">
        <v>122.36</v>
      </c>
      <c r="BO683">
        <v>122.36</v>
      </c>
      <c r="BQ683" t="s">
        <v>124</v>
      </c>
      <c r="BR683" t="s">
        <v>97</v>
      </c>
      <c r="BS683" s="3">
        <v>45938</v>
      </c>
      <c r="BT683" s="4">
        <v>0.35138888888888886</v>
      </c>
      <c r="BU683" t="s">
        <v>927</v>
      </c>
      <c r="BV683" t="s">
        <v>86</v>
      </c>
      <c r="BY683">
        <v>8265</v>
      </c>
      <c r="CA683" t="s">
        <v>758</v>
      </c>
      <c r="CC683" t="s">
        <v>122</v>
      </c>
      <c r="CD683">
        <v>4051</v>
      </c>
      <c r="CE683" t="s">
        <v>191</v>
      </c>
      <c r="CF683" s="3">
        <v>45938</v>
      </c>
      <c r="CI683">
        <v>1</v>
      </c>
      <c r="CJ683">
        <v>1</v>
      </c>
      <c r="CK683">
        <v>21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"080068368156"</f>
        <v>080068368156</v>
      </c>
      <c r="F684" s="3">
        <v>45937</v>
      </c>
      <c r="G684">
        <v>202607</v>
      </c>
      <c r="H684" t="s">
        <v>79</v>
      </c>
      <c r="I684" t="s">
        <v>80</v>
      </c>
      <c r="J684" t="s">
        <v>91</v>
      </c>
      <c r="K684" t="s">
        <v>78</v>
      </c>
      <c r="L684" t="s">
        <v>333</v>
      </c>
      <c r="M684" t="s">
        <v>334</v>
      </c>
      <c r="N684" t="s">
        <v>1388</v>
      </c>
      <c r="O684" t="s">
        <v>82</v>
      </c>
      <c r="P684" t="str">
        <f>"4170063194                    "</f>
        <v xml:space="preserve">4170063194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22.36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2</v>
      </c>
      <c r="BJ684">
        <v>1.9</v>
      </c>
      <c r="BK684">
        <v>2</v>
      </c>
      <c r="BL684">
        <v>70.959999999999994</v>
      </c>
      <c r="BM684">
        <v>10.64</v>
      </c>
      <c r="BN684">
        <v>81.599999999999994</v>
      </c>
      <c r="BO684">
        <v>81.599999999999994</v>
      </c>
      <c r="BQ684" t="s">
        <v>1389</v>
      </c>
      <c r="BR684" t="s">
        <v>97</v>
      </c>
      <c r="BS684" s="3">
        <v>45938</v>
      </c>
      <c r="BT684" s="4">
        <v>0.4201388888888889</v>
      </c>
      <c r="BU684" t="s">
        <v>1390</v>
      </c>
      <c r="BV684" t="s">
        <v>86</v>
      </c>
      <c r="BY684">
        <v>9367</v>
      </c>
      <c r="CA684" t="s">
        <v>142</v>
      </c>
      <c r="CC684" t="s">
        <v>334</v>
      </c>
      <c r="CD684">
        <v>6220</v>
      </c>
      <c r="CE684" t="s">
        <v>191</v>
      </c>
      <c r="CF684" s="3">
        <v>45938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"080068368175"</f>
        <v>080068368175</v>
      </c>
      <c r="F685" s="3">
        <v>45937</v>
      </c>
      <c r="G685">
        <v>202607</v>
      </c>
      <c r="H685" t="s">
        <v>79</v>
      </c>
      <c r="I685" t="s">
        <v>80</v>
      </c>
      <c r="J685" t="s">
        <v>91</v>
      </c>
      <c r="K685" t="s">
        <v>78</v>
      </c>
      <c r="L685" t="s">
        <v>168</v>
      </c>
      <c r="M685" t="s">
        <v>169</v>
      </c>
      <c r="N685" t="s">
        <v>297</v>
      </c>
      <c r="O685" t="s">
        <v>95</v>
      </c>
      <c r="P685" t="str">
        <f>"4170063079                    "</f>
        <v xml:space="preserve">4170063079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80.709999999999994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36</v>
      </c>
      <c r="BJ685">
        <v>9.5</v>
      </c>
      <c r="BK685">
        <v>36</v>
      </c>
      <c r="BL685">
        <v>262.04000000000002</v>
      </c>
      <c r="BM685">
        <v>39.31</v>
      </c>
      <c r="BN685">
        <v>301.35000000000002</v>
      </c>
      <c r="BO685">
        <v>301.35000000000002</v>
      </c>
      <c r="BQ685" t="s">
        <v>298</v>
      </c>
      <c r="BR685" t="s">
        <v>97</v>
      </c>
      <c r="BS685" s="3">
        <v>45938</v>
      </c>
      <c r="BT685" s="4">
        <v>0.45277777777777778</v>
      </c>
      <c r="BU685" t="s">
        <v>1391</v>
      </c>
      <c r="BV685" t="s">
        <v>86</v>
      </c>
      <c r="BY685">
        <v>47652</v>
      </c>
      <c r="CC685" t="s">
        <v>169</v>
      </c>
      <c r="CD685" s="5" t="s">
        <v>190</v>
      </c>
      <c r="CE685" t="s">
        <v>191</v>
      </c>
      <c r="CF685" s="3">
        <v>45938</v>
      </c>
      <c r="CI685">
        <v>1</v>
      </c>
      <c r="CJ685">
        <v>1</v>
      </c>
      <c r="CK685">
        <v>41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"080068368404"</f>
        <v>080068368404</v>
      </c>
      <c r="F686" s="3">
        <v>45937</v>
      </c>
      <c r="G686">
        <v>202607</v>
      </c>
      <c r="H686" t="s">
        <v>79</v>
      </c>
      <c r="I686" t="s">
        <v>80</v>
      </c>
      <c r="J686" t="s">
        <v>91</v>
      </c>
      <c r="K686" t="s">
        <v>78</v>
      </c>
      <c r="L686" t="s">
        <v>168</v>
      </c>
      <c r="M686" t="s">
        <v>169</v>
      </c>
      <c r="N686" t="s">
        <v>170</v>
      </c>
      <c r="O686" t="s">
        <v>82</v>
      </c>
      <c r="P686" t="str">
        <f>"4170063237                    "</f>
        <v xml:space="preserve">4170063237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22.36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70.959999999999994</v>
      </c>
      <c r="BM686">
        <v>10.64</v>
      </c>
      <c r="BN686">
        <v>81.599999999999994</v>
      </c>
      <c r="BO686">
        <v>81.599999999999994</v>
      </c>
      <c r="BQ686" t="s">
        <v>171</v>
      </c>
      <c r="BR686" t="s">
        <v>97</v>
      </c>
      <c r="BS686" s="3">
        <v>45938</v>
      </c>
      <c r="BT686" s="4">
        <v>0.38958333333333334</v>
      </c>
      <c r="BU686" t="s">
        <v>980</v>
      </c>
      <c r="BV686" t="s">
        <v>86</v>
      </c>
      <c r="BY686">
        <v>1200</v>
      </c>
      <c r="CA686" t="s">
        <v>146</v>
      </c>
      <c r="CC686" t="s">
        <v>169</v>
      </c>
      <c r="CD686" s="5" t="s">
        <v>173</v>
      </c>
      <c r="CE686" t="s">
        <v>147</v>
      </c>
      <c r="CF686" s="3">
        <v>45938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"080068368412"</f>
        <v>080068368412</v>
      </c>
      <c r="F687" s="3">
        <v>45937</v>
      </c>
      <c r="G687">
        <v>202607</v>
      </c>
      <c r="H687" t="s">
        <v>79</v>
      </c>
      <c r="I687" t="s">
        <v>80</v>
      </c>
      <c r="J687" t="s">
        <v>91</v>
      </c>
      <c r="K687" t="s">
        <v>78</v>
      </c>
      <c r="L687" t="s">
        <v>306</v>
      </c>
      <c r="M687" t="s">
        <v>307</v>
      </c>
      <c r="N687" t="s">
        <v>636</v>
      </c>
      <c r="O687" t="s">
        <v>82</v>
      </c>
      <c r="P687" t="str">
        <f>"4170062829                    "</f>
        <v xml:space="preserve">4170062829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83.78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6</v>
      </c>
      <c r="BJ687">
        <v>7.4</v>
      </c>
      <c r="BK687">
        <v>7.5</v>
      </c>
      <c r="BL687">
        <v>265.92</v>
      </c>
      <c r="BM687">
        <v>39.89</v>
      </c>
      <c r="BN687">
        <v>305.81</v>
      </c>
      <c r="BO687">
        <v>305.81</v>
      </c>
      <c r="BQ687" t="s">
        <v>637</v>
      </c>
      <c r="BR687" t="s">
        <v>97</v>
      </c>
      <c r="BS687" s="3">
        <v>45938</v>
      </c>
      <c r="BT687" s="4">
        <v>0.54861111111111116</v>
      </c>
      <c r="BU687" t="s">
        <v>1392</v>
      </c>
      <c r="BV687" t="s">
        <v>90</v>
      </c>
      <c r="BW687" t="s">
        <v>136</v>
      </c>
      <c r="BX687" t="s">
        <v>1222</v>
      </c>
      <c r="BY687">
        <v>36822</v>
      </c>
      <c r="CA687" t="s">
        <v>157</v>
      </c>
      <c r="CC687" t="s">
        <v>307</v>
      </c>
      <c r="CD687">
        <v>4113</v>
      </c>
      <c r="CE687" t="s">
        <v>191</v>
      </c>
      <c r="CF687" s="3">
        <v>45947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"080068368422"</f>
        <v>080068368422</v>
      </c>
      <c r="F688" s="3">
        <v>45937</v>
      </c>
      <c r="G688">
        <v>202607</v>
      </c>
      <c r="H688" t="s">
        <v>79</v>
      </c>
      <c r="I688" t="s">
        <v>80</v>
      </c>
      <c r="J688" t="s">
        <v>91</v>
      </c>
      <c r="K688" t="s">
        <v>78</v>
      </c>
      <c r="L688" t="s">
        <v>79</v>
      </c>
      <c r="M688" t="s">
        <v>80</v>
      </c>
      <c r="N688" t="s">
        <v>1393</v>
      </c>
      <c r="O688" t="s">
        <v>82</v>
      </c>
      <c r="P688" t="str">
        <f>"4170063283                    "</f>
        <v xml:space="preserve">4170063283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17.46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55.42</v>
      </c>
      <c r="BM688">
        <v>8.31</v>
      </c>
      <c r="BN688">
        <v>63.73</v>
      </c>
      <c r="BO688">
        <v>63.73</v>
      </c>
      <c r="BQ688" t="s">
        <v>1394</v>
      </c>
      <c r="BR688" t="s">
        <v>97</v>
      </c>
      <c r="BS688" s="3">
        <v>45938</v>
      </c>
      <c r="BT688" s="4">
        <v>0.39027777777777778</v>
      </c>
      <c r="BU688" t="s">
        <v>1395</v>
      </c>
      <c r="BV688" t="s">
        <v>86</v>
      </c>
      <c r="BY688">
        <v>1200</v>
      </c>
      <c r="CA688" t="s">
        <v>918</v>
      </c>
      <c r="CC688" t="s">
        <v>80</v>
      </c>
      <c r="CD688">
        <v>1685</v>
      </c>
      <c r="CE688" t="s">
        <v>147</v>
      </c>
      <c r="CF688" s="3">
        <v>45939</v>
      </c>
      <c r="CI688">
        <v>1</v>
      </c>
      <c r="CJ688">
        <v>1</v>
      </c>
      <c r="CK688">
        <v>22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"080068368439"</f>
        <v>080068368439</v>
      </c>
      <c r="F689" s="3">
        <v>45937</v>
      </c>
      <c r="G689">
        <v>202607</v>
      </c>
      <c r="H689" t="s">
        <v>79</v>
      </c>
      <c r="I689" t="s">
        <v>80</v>
      </c>
      <c r="J689" t="s">
        <v>91</v>
      </c>
      <c r="K689" t="s">
        <v>78</v>
      </c>
      <c r="L689" t="s">
        <v>206</v>
      </c>
      <c r="M689" t="s">
        <v>207</v>
      </c>
      <c r="N689" t="s">
        <v>458</v>
      </c>
      <c r="O689" t="s">
        <v>82</v>
      </c>
      <c r="P689" t="str">
        <f>"4170063205                    "</f>
        <v xml:space="preserve">4170063205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55.86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5</v>
      </c>
      <c r="BJ689">
        <v>4.4000000000000004</v>
      </c>
      <c r="BK689">
        <v>5</v>
      </c>
      <c r="BL689">
        <v>177.3</v>
      </c>
      <c r="BM689">
        <v>26.6</v>
      </c>
      <c r="BN689">
        <v>203.9</v>
      </c>
      <c r="BO689">
        <v>203.9</v>
      </c>
      <c r="BQ689" t="s">
        <v>459</v>
      </c>
      <c r="BR689" t="s">
        <v>97</v>
      </c>
      <c r="BS689" s="3">
        <v>45938</v>
      </c>
      <c r="BT689" s="4">
        <v>0.45833333333333331</v>
      </c>
      <c r="BU689" t="s">
        <v>1396</v>
      </c>
      <c r="BV689" t="s">
        <v>90</v>
      </c>
      <c r="BW689" t="s">
        <v>347</v>
      </c>
      <c r="BX689" t="s">
        <v>1038</v>
      </c>
      <c r="BY689">
        <v>22185</v>
      </c>
      <c r="CA689" t="s">
        <v>461</v>
      </c>
      <c r="CC689" t="s">
        <v>207</v>
      </c>
      <c r="CD689">
        <v>7530</v>
      </c>
      <c r="CE689" t="s">
        <v>191</v>
      </c>
      <c r="CF689" s="3">
        <v>45939</v>
      </c>
      <c r="CI689">
        <v>1</v>
      </c>
      <c r="CJ689">
        <v>1</v>
      </c>
      <c r="CK689">
        <v>21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"080068368445"</f>
        <v>080068368445</v>
      </c>
      <c r="F690" s="3">
        <v>45937</v>
      </c>
      <c r="G690">
        <v>202607</v>
      </c>
      <c r="H690" t="s">
        <v>79</v>
      </c>
      <c r="I690" t="s">
        <v>80</v>
      </c>
      <c r="J690" t="s">
        <v>91</v>
      </c>
      <c r="K690" t="s">
        <v>78</v>
      </c>
      <c r="L690" t="s">
        <v>453</v>
      </c>
      <c r="M690" t="s">
        <v>454</v>
      </c>
      <c r="N690" t="s">
        <v>1397</v>
      </c>
      <c r="O690" t="s">
        <v>82</v>
      </c>
      <c r="P690" t="str">
        <f>"4170063233                    "</f>
        <v xml:space="preserve">4170063233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22.36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70.959999999999994</v>
      </c>
      <c r="BM690">
        <v>10.64</v>
      </c>
      <c r="BN690">
        <v>81.599999999999994</v>
      </c>
      <c r="BO690">
        <v>81.599999999999994</v>
      </c>
      <c r="BQ690" t="s">
        <v>1398</v>
      </c>
      <c r="BR690" t="s">
        <v>97</v>
      </c>
      <c r="BS690" s="3">
        <v>45938</v>
      </c>
      <c r="BT690" s="4">
        <v>0.41666666666666669</v>
      </c>
      <c r="BU690" t="s">
        <v>1399</v>
      </c>
      <c r="BV690" t="s">
        <v>86</v>
      </c>
      <c r="BY690">
        <v>1200</v>
      </c>
      <c r="CA690" t="s">
        <v>457</v>
      </c>
      <c r="CC690" t="s">
        <v>454</v>
      </c>
      <c r="CD690">
        <v>3600</v>
      </c>
      <c r="CE690" t="s">
        <v>147</v>
      </c>
      <c r="CF690" s="3">
        <v>45938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"080068368456"</f>
        <v>080068368456</v>
      </c>
      <c r="F691" s="3">
        <v>45937</v>
      </c>
      <c r="G691">
        <v>202607</v>
      </c>
      <c r="H691" t="s">
        <v>79</v>
      </c>
      <c r="I691" t="s">
        <v>80</v>
      </c>
      <c r="J691" t="s">
        <v>91</v>
      </c>
      <c r="K691" t="s">
        <v>78</v>
      </c>
      <c r="L691" t="s">
        <v>206</v>
      </c>
      <c r="M691" t="s">
        <v>207</v>
      </c>
      <c r="N691" t="s">
        <v>611</v>
      </c>
      <c r="O691" t="s">
        <v>82</v>
      </c>
      <c r="P691" t="str">
        <f>"4170063080                    "</f>
        <v xml:space="preserve">4170063080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22.36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70.959999999999994</v>
      </c>
      <c r="BM691">
        <v>10.64</v>
      </c>
      <c r="BN691">
        <v>81.599999999999994</v>
      </c>
      <c r="BO691">
        <v>81.599999999999994</v>
      </c>
      <c r="BQ691" t="s">
        <v>612</v>
      </c>
      <c r="BR691" t="s">
        <v>97</v>
      </c>
      <c r="BS691" s="3">
        <v>45938</v>
      </c>
      <c r="BT691" s="4">
        <v>0.42569444444444443</v>
      </c>
      <c r="BU691" t="s">
        <v>1400</v>
      </c>
      <c r="BV691" t="s">
        <v>86</v>
      </c>
      <c r="BY691">
        <v>1200</v>
      </c>
      <c r="CA691" t="s">
        <v>423</v>
      </c>
      <c r="CC691" t="s">
        <v>207</v>
      </c>
      <c r="CD691">
        <v>7530</v>
      </c>
      <c r="CE691" t="s">
        <v>147</v>
      </c>
      <c r="CF691" s="3">
        <v>45939</v>
      </c>
      <c r="CI691">
        <v>1</v>
      </c>
      <c r="CJ691">
        <v>1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"080068368459"</f>
        <v>080068368459</v>
      </c>
      <c r="F692" s="3">
        <v>45937</v>
      </c>
      <c r="G692">
        <v>202607</v>
      </c>
      <c r="H692" t="s">
        <v>79</v>
      </c>
      <c r="I692" t="s">
        <v>80</v>
      </c>
      <c r="J692" t="s">
        <v>91</v>
      </c>
      <c r="K692" t="s">
        <v>78</v>
      </c>
      <c r="L692" t="s">
        <v>233</v>
      </c>
      <c r="M692" t="s">
        <v>234</v>
      </c>
      <c r="N692" t="s">
        <v>908</v>
      </c>
      <c r="O692" t="s">
        <v>82</v>
      </c>
      <c r="P692" t="str">
        <f>"4170063231                    "</f>
        <v xml:space="preserve">4170063231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22.36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1.1000000000000001</v>
      </c>
      <c r="BK692">
        <v>1.5</v>
      </c>
      <c r="BL692">
        <v>70.959999999999994</v>
      </c>
      <c r="BM692">
        <v>10.64</v>
      </c>
      <c r="BN692">
        <v>81.599999999999994</v>
      </c>
      <c r="BO692">
        <v>81.599999999999994</v>
      </c>
      <c r="BQ692" t="s">
        <v>909</v>
      </c>
      <c r="BR692" t="s">
        <v>97</v>
      </c>
      <c r="BS692" s="3">
        <v>45938</v>
      </c>
      <c r="BT692" s="4">
        <v>0.39027777777777778</v>
      </c>
      <c r="BU692" t="s">
        <v>1401</v>
      </c>
      <c r="BV692" t="s">
        <v>86</v>
      </c>
      <c r="BY692">
        <v>5510</v>
      </c>
      <c r="CA692" t="s">
        <v>146</v>
      </c>
      <c r="CC692" t="s">
        <v>234</v>
      </c>
      <c r="CD692" s="5" t="s">
        <v>238</v>
      </c>
      <c r="CE692" t="s">
        <v>191</v>
      </c>
      <c r="CF692" s="3">
        <v>45938</v>
      </c>
      <c r="CI692">
        <v>1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"080068368466"</f>
        <v>080068368466</v>
      </c>
      <c r="F693" s="3">
        <v>45937</v>
      </c>
      <c r="G693">
        <v>202607</v>
      </c>
      <c r="H693" t="s">
        <v>79</v>
      </c>
      <c r="I693" t="s">
        <v>80</v>
      </c>
      <c r="J693" t="s">
        <v>91</v>
      </c>
      <c r="K693" t="s">
        <v>78</v>
      </c>
      <c r="L693" t="s">
        <v>322</v>
      </c>
      <c r="M693" t="s">
        <v>322</v>
      </c>
      <c r="N693" t="s">
        <v>376</v>
      </c>
      <c r="O693" t="s">
        <v>82</v>
      </c>
      <c r="P693" t="str">
        <f>"4170063010                    "</f>
        <v xml:space="preserve">4170063010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43.31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137.47</v>
      </c>
      <c r="BM693">
        <v>20.62</v>
      </c>
      <c r="BN693">
        <v>158.09</v>
      </c>
      <c r="BO693">
        <v>158.09</v>
      </c>
      <c r="BQ693" t="s">
        <v>377</v>
      </c>
      <c r="BR693" t="s">
        <v>97</v>
      </c>
      <c r="BS693" s="3">
        <v>45938</v>
      </c>
      <c r="BT693" s="4">
        <v>0.53819444444444442</v>
      </c>
      <c r="BU693" t="s">
        <v>1402</v>
      </c>
      <c r="BV693" t="s">
        <v>86</v>
      </c>
      <c r="BY693">
        <v>1200</v>
      </c>
      <c r="CA693" t="s">
        <v>326</v>
      </c>
      <c r="CC693" t="s">
        <v>322</v>
      </c>
      <c r="CD693">
        <v>7646</v>
      </c>
      <c r="CE693" t="s">
        <v>147</v>
      </c>
      <c r="CF693" s="3">
        <v>45939</v>
      </c>
      <c r="CI693">
        <v>1</v>
      </c>
      <c r="CJ693">
        <v>1</v>
      </c>
      <c r="CK693">
        <v>23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"080068368482"</f>
        <v>080068368482</v>
      </c>
      <c r="F694" s="3">
        <v>45937</v>
      </c>
      <c r="G694">
        <v>202607</v>
      </c>
      <c r="H694" t="s">
        <v>79</v>
      </c>
      <c r="I694" t="s">
        <v>80</v>
      </c>
      <c r="J694" t="s">
        <v>91</v>
      </c>
      <c r="K694" t="s">
        <v>78</v>
      </c>
      <c r="L694" t="s">
        <v>108</v>
      </c>
      <c r="M694" t="s">
        <v>109</v>
      </c>
      <c r="N694" t="s">
        <v>110</v>
      </c>
      <c r="O694" t="s">
        <v>82</v>
      </c>
      <c r="P694" t="str">
        <f>"4170063114                    "</f>
        <v xml:space="preserve">4170063114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22.36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70.959999999999994</v>
      </c>
      <c r="BM694">
        <v>10.64</v>
      </c>
      <c r="BN694">
        <v>81.599999999999994</v>
      </c>
      <c r="BO694">
        <v>81.599999999999994</v>
      </c>
      <c r="BQ694" t="s">
        <v>111</v>
      </c>
      <c r="BR694" t="s">
        <v>97</v>
      </c>
      <c r="BS694" s="3">
        <v>45938</v>
      </c>
      <c r="BT694" s="4">
        <v>0.41944444444444445</v>
      </c>
      <c r="BU694" t="s">
        <v>1403</v>
      </c>
      <c r="BV694" t="s">
        <v>86</v>
      </c>
      <c r="BY694">
        <v>1200</v>
      </c>
      <c r="CA694" t="s">
        <v>113</v>
      </c>
      <c r="CC694" t="s">
        <v>109</v>
      </c>
      <c r="CD694">
        <v>6045</v>
      </c>
      <c r="CE694" t="s">
        <v>147</v>
      </c>
      <c r="CF694" s="3">
        <v>45938</v>
      </c>
      <c r="CI694">
        <v>1</v>
      </c>
      <c r="CJ694">
        <v>1</v>
      </c>
      <c r="CK694">
        <v>21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"080068368484"</f>
        <v>080068368484</v>
      </c>
      <c r="F695" s="3">
        <v>45937</v>
      </c>
      <c r="G695">
        <v>202607</v>
      </c>
      <c r="H695" t="s">
        <v>79</v>
      </c>
      <c r="I695" t="s">
        <v>80</v>
      </c>
      <c r="J695" t="s">
        <v>91</v>
      </c>
      <c r="K695" t="s">
        <v>78</v>
      </c>
      <c r="L695" t="s">
        <v>121</v>
      </c>
      <c r="M695" t="s">
        <v>122</v>
      </c>
      <c r="N695" t="s">
        <v>1278</v>
      </c>
      <c r="O695" t="s">
        <v>82</v>
      </c>
      <c r="P695" t="str">
        <f>"4170063044                    "</f>
        <v xml:space="preserve">4170063044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22.36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</v>
      </c>
      <c r="BJ695">
        <v>1.9</v>
      </c>
      <c r="BK695">
        <v>2</v>
      </c>
      <c r="BL695">
        <v>70.959999999999994</v>
      </c>
      <c r="BM695">
        <v>10.64</v>
      </c>
      <c r="BN695">
        <v>81.599999999999994</v>
      </c>
      <c r="BO695">
        <v>81.599999999999994</v>
      </c>
      <c r="BQ695" t="s">
        <v>1279</v>
      </c>
      <c r="BR695" t="s">
        <v>97</v>
      </c>
      <c r="BS695" s="3">
        <v>45938</v>
      </c>
      <c r="BT695" s="4">
        <v>0.39791666666666664</v>
      </c>
      <c r="BU695" t="s">
        <v>1404</v>
      </c>
      <c r="BV695" t="s">
        <v>86</v>
      </c>
      <c r="BY695">
        <v>9690</v>
      </c>
      <c r="CA695" t="s">
        <v>651</v>
      </c>
      <c r="CC695" t="s">
        <v>122</v>
      </c>
      <c r="CD695">
        <v>4000</v>
      </c>
      <c r="CE695" t="s">
        <v>191</v>
      </c>
      <c r="CF695" s="3">
        <v>45939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"080068368489"</f>
        <v>080068368489</v>
      </c>
      <c r="F696" s="3">
        <v>45937</v>
      </c>
      <c r="G696">
        <v>202607</v>
      </c>
      <c r="H696" t="s">
        <v>79</v>
      </c>
      <c r="I696" t="s">
        <v>80</v>
      </c>
      <c r="J696" t="s">
        <v>91</v>
      </c>
      <c r="K696" t="s">
        <v>78</v>
      </c>
      <c r="L696" t="s">
        <v>342</v>
      </c>
      <c r="M696" t="s">
        <v>343</v>
      </c>
      <c r="N696" t="s">
        <v>344</v>
      </c>
      <c r="O696" t="s">
        <v>82</v>
      </c>
      <c r="P696" t="str">
        <f>"4170063209                    "</f>
        <v xml:space="preserve">4170063209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43.31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137.47</v>
      </c>
      <c r="BM696">
        <v>20.62</v>
      </c>
      <c r="BN696">
        <v>158.09</v>
      </c>
      <c r="BO696">
        <v>158.09</v>
      </c>
      <c r="BQ696" t="s">
        <v>345</v>
      </c>
      <c r="BR696" t="s">
        <v>97</v>
      </c>
      <c r="BS696" s="3">
        <v>45938</v>
      </c>
      <c r="BT696" s="4">
        <v>0.59097222222222223</v>
      </c>
      <c r="BU696" t="s">
        <v>1405</v>
      </c>
      <c r="BV696" t="s">
        <v>90</v>
      </c>
      <c r="BW696" t="s">
        <v>347</v>
      </c>
      <c r="BX696" t="s">
        <v>348</v>
      </c>
      <c r="BY696">
        <v>1200</v>
      </c>
      <c r="CA696" t="s">
        <v>349</v>
      </c>
      <c r="CC696" t="s">
        <v>343</v>
      </c>
      <c r="CD696">
        <v>7349</v>
      </c>
      <c r="CE696" t="s">
        <v>147</v>
      </c>
      <c r="CF696" s="3">
        <v>45939</v>
      </c>
      <c r="CI696">
        <v>1</v>
      </c>
      <c r="CJ696">
        <v>1</v>
      </c>
      <c r="CK696">
        <v>23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"080068368510"</f>
        <v>080068368510</v>
      </c>
      <c r="F697" s="3">
        <v>45937</v>
      </c>
      <c r="G697">
        <v>202607</v>
      </c>
      <c r="H697" t="s">
        <v>79</v>
      </c>
      <c r="I697" t="s">
        <v>80</v>
      </c>
      <c r="J697" t="s">
        <v>91</v>
      </c>
      <c r="K697" t="s">
        <v>78</v>
      </c>
      <c r="L697" t="s">
        <v>121</v>
      </c>
      <c r="M697" t="s">
        <v>122</v>
      </c>
      <c r="N697" t="s">
        <v>123</v>
      </c>
      <c r="O697" t="s">
        <v>82</v>
      </c>
      <c r="P697" t="str">
        <f>"4170063106                    "</f>
        <v xml:space="preserve">4170063106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22.36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70.959999999999994</v>
      </c>
      <c r="BM697">
        <v>10.64</v>
      </c>
      <c r="BN697">
        <v>81.599999999999994</v>
      </c>
      <c r="BO697">
        <v>81.599999999999994</v>
      </c>
      <c r="BQ697" t="s">
        <v>124</v>
      </c>
      <c r="BR697" t="s">
        <v>97</v>
      </c>
      <c r="BS697" s="3">
        <v>45938</v>
      </c>
      <c r="BT697" s="4">
        <v>0.35138888888888886</v>
      </c>
      <c r="BU697" t="s">
        <v>927</v>
      </c>
      <c r="BV697" t="s">
        <v>86</v>
      </c>
      <c r="BY697">
        <v>1200</v>
      </c>
      <c r="CA697" t="s">
        <v>758</v>
      </c>
      <c r="CC697" t="s">
        <v>122</v>
      </c>
      <c r="CD697">
        <v>4000</v>
      </c>
      <c r="CE697" t="s">
        <v>147</v>
      </c>
      <c r="CF697" s="3">
        <v>45938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"080068368511"</f>
        <v>080068368511</v>
      </c>
      <c r="F698" s="3">
        <v>45937</v>
      </c>
      <c r="G698">
        <v>202607</v>
      </c>
      <c r="H698" t="s">
        <v>79</v>
      </c>
      <c r="I698" t="s">
        <v>80</v>
      </c>
      <c r="J698" t="s">
        <v>91</v>
      </c>
      <c r="K698" t="s">
        <v>78</v>
      </c>
      <c r="L698" t="s">
        <v>121</v>
      </c>
      <c r="M698" t="s">
        <v>122</v>
      </c>
      <c r="N698" t="s">
        <v>1023</v>
      </c>
      <c r="O698" t="s">
        <v>82</v>
      </c>
      <c r="P698" t="str">
        <f>"4170063048                    "</f>
        <v xml:space="preserve">4170063048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22.36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1.1000000000000001</v>
      </c>
      <c r="BK698">
        <v>1.5</v>
      </c>
      <c r="BL698">
        <v>70.959999999999994</v>
      </c>
      <c r="BM698">
        <v>10.64</v>
      </c>
      <c r="BN698">
        <v>81.599999999999994</v>
      </c>
      <c r="BO698">
        <v>81.599999999999994</v>
      </c>
      <c r="BQ698" t="s">
        <v>1024</v>
      </c>
      <c r="BR698" t="s">
        <v>97</v>
      </c>
      <c r="BS698" s="3">
        <v>45938</v>
      </c>
      <c r="BT698" s="4">
        <v>0.4201388888888889</v>
      </c>
      <c r="BU698" t="s">
        <v>1025</v>
      </c>
      <c r="BV698" t="s">
        <v>86</v>
      </c>
      <c r="BY698">
        <v>5700</v>
      </c>
      <c r="CA698" t="s">
        <v>1406</v>
      </c>
      <c r="CC698" t="s">
        <v>122</v>
      </c>
      <c r="CD698">
        <v>4000</v>
      </c>
      <c r="CE698" t="s">
        <v>191</v>
      </c>
      <c r="CF698" s="3">
        <v>45938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"080068368516"</f>
        <v>080068368516</v>
      </c>
      <c r="F699" s="3">
        <v>45937</v>
      </c>
      <c r="G699">
        <v>202607</v>
      </c>
      <c r="H699" t="s">
        <v>79</v>
      </c>
      <c r="I699" t="s">
        <v>80</v>
      </c>
      <c r="J699" t="s">
        <v>91</v>
      </c>
      <c r="K699" t="s">
        <v>78</v>
      </c>
      <c r="L699" t="s">
        <v>148</v>
      </c>
      <c r="M699" t="s">
        <v>149</v>
      </c>
      <c r="N699" t="s">
        <v>905</v>
      </c>
      <c r="O699" t="s">
        <v>82</v>
      </c>
      <c r="P699" t="str">
        <f>"4170063238                    "</f>
        <v xml:space="preserve">4170063238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17.46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55.42</v>
      </c>
      <c r="BM699">
        <v>8.31</v>
      </c>
      <c r="BN699">
        <v>63.73</v>
      </c>
      <c r="BO699">
        <v>63.73</v>
      </c>
      <c r="BQ699" t="s">
        <v>906</v>
      </c>
      <c r="BR699" t="s">
        <v>97</v>
      </c>
      <c r="BS699" s="3">
        <v>45938</v>
      </c>
      <c r="BT699" s="4">
        <v>0.4</v>
      </c>
      <c r="BU699" t="s">
        <v>1407</v>
      </c>
      <c r="BV699" t="s">
        <v>86</v>
      </c>
      <c r="BY699">
        <v>1200</v>
      </c>
      <c r="CA699" t="s">
        <v>1408</v>
      </c>
      <c r="CC699" t="s">
        <v>149</v>
      </c>
      <c r="CD699">
        <v>2094</v>
      </c>
      <c r="CE699" t="s">
        <v>147</v>
      </c>
      <c r="CF699" s="3">
        <v>45944</v>
      </c>
      <c r="CI699">
        <v>1</v>
      </c>
      <c r="CJ699">
        <v>1</v>
      </c>
      <c r="CK699">
        <v>22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"080068368532"</f>
        <v>080068368532</v>
      </c>
      <c r="F700" s="3">
        <v>45937</v>
      </c>
      <c r="G700">
        <v>202607</v>
      </c>
      <c r="H700" t="s">
        <v>79</v>
      </c>
      <c r="I700" t="s">
        <v>80</v>
      </c>
      <c r="J700" t="s">
        <v>91</v>
      </c>
      <c r="K700" t="s">
        <v>78</v>
      </c>
      <c r="L700" t="s">
        <v>985</v>
      </c>
      <c r="M700" t="s">
        <v>986</v>
      </c>
      <c r="N700" t="s">
        <v>1409</v>
      </c>
      <c r="O700" t="s">
        <v>82</v>
      </c>
      <c r="P700" t="str">
        <f>"4170063041                    "</f>
        <v xml:space="preserve">4170063041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22.36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70.959999999999994</v>
      </c>
      <c r="BM700">
        <v>10.64</v>
      </c>
      <c r="BN700">
        <v>81.599999999999994</v>
      </c>
      <c r="BO700">
        <v>81.599999999999994</v>
      </c>
      <c r="BQ700" t="s">
        <v>1410</v>
      </c>
      <c r="BR700" t="s">
        <v>97</v>
      </c>
      <c r="BS700" s="3">
        <v>45938</v>
      </c>
      <c r="BT700" s="4">
        <v>0.4513888888888889</v>
      </c>
      <c r="BU700" t="s">
        <v>1411</v>
      </c>
      <c r="BV700" t="s">
        <v>86</v>
      </c>
      <c r="BY700">
        <v>1200</v>
      </c>
      <c r="CA700" t="s">
        <v>1359</v>
      </c>
      <c r="CC700" t="s">
        <v>986</v>
      </c>
      <c r="CD700">
        <v>7600</v>
      </c>
      <c r="CE700" t="s">
        <v>147</v>
      </c>
      <c r="CF700" s="3">
        <v>45939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"080068368563"</f>
        <v>080068368563</v>
      </c>
      <c r="F701" s="3">
        <v>45937</v>
      </c>
      <c r="G701">
        <v>202607</v>
      </c>
      <c r="H701" t="s">
        <v>79</v>
      </c>
      <c r="I701" t="s">
        <v>80</v>
      </c>
      <c r="J701" t="s">
        <v>91</v>
      </c>
      <c r="K701" t="s">
        <v>78</v>
      </c>
      <c r="L701" t="s">
        <v>1255</v>
      </c>
      <c r="M701" t="s">
        <v>1256</v>
      </c>
      <c r="N701" t="s">
        <v>1257</v>
      </c>
      <c r="O701" t="s">
        <v>82</v>
      </c>
      <c r="P701" t="str">
        <f>"4170063226                    "</f>
        <v xml:space="preserve">4170063226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43.31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137.47</v>
      </c>
      <c r="BM701">
        <v>20.62</v>
      </c>
      <c r="BN701">
        <v>158.09</v>
      </c>
      <c r="BO701">
        <v>158.09</v>
      </c>
      <c r="BQ701" t="s">
        <v>1258</v>
      </c>
      <c r="BR701" t="s">
        <v>97</v>
      </c>
      <c r="BS701" s="3">
        <v>45938</v>
      </c>
      <c r="BT701" s="4">
        <v>0.64513888888888893</v>
      </c>
      <c r="BU701" t="s">
        <v>1412</v>
      </c>
      <c r="BV701" t="s">
        <v>86</v>
      </c>
      <c r="BY701">
        <v>1200</v>
      </c>
      <c r="CA701" t="s">
        <v>1260</v>
      </c>
      <c r="CC701" t="s">
        <v>1256</v>
      </c>
      <c r="CD701">
        <v>2309</v>
      </c>
      <c r="CE701" t="s">
        <v>147</v>
      </c>
      <c r="CF701" s="3">
        <v>45939</v>
      </c>
      <c r="CI701">
        <v>1</v>
      </c>
      <c r="CJ701">
        <v>1</v>
      </c>
      <c r="CK701">
        <v>23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"080068368569"</f>
        <v>080068368569</v>
      </c>
      <c r="F702" s="3">
        <v>45937</v>
      </c>
      <c r="G702">
        <v>202607</v>
      </c>
      <c r="H702" t="s">
        <v>79</v>
      </c>
      <c r="I702" t="s">
        <v>80</v>
      </c>
      <c r="J702" t="s">
        <v>91</v>
      </c>
      <c r="K702" t="s">
        <v>78</v>
      </c>
      <c r="L702" t="s">
        <v>306</v>
      </c>
      <c r="M702" t="s">
        <v>307</v>
      </c>
      <c r="N702" t="s">
        <v>1413</v>
      </c>
      <c r="O702" t="s">
        <v>82</v>
      </c>
      <c r="P702" t="str">
        <f>"4170063183                    "</f>
        <v xml:space="preserve">4170063183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22.36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2</v>
      </c>
      <c r="BJ702">
        <v>1.7</v>
      </c>
      <c r="BK702">
        <v>2</v>
      </c>
      <c r="BL702">
        <v>70.959999999999994</v>
      </c>
      <c r="BM702">
        <v>10.64</v>
      </c>
      <c r="BN702">
        <v>81.599999999999994</v>
      </c>
      <c r="BO702">
        <v>81.599999999999994</v>
      </c>
      <c r="BQ702" t="s">
        <v>1414</v>
      </c>
      <c r="BR702" t="s">
        <v>97</v>
      </c>
      <c r="BS702" s="3">
        <v>45938</v>
      </c>
      <c r="BT702" s="4">
        <v>0.7944444444444444</v>
      </c>
      <c r="BU702" t="s">
        <v>1415</v>
      </c>
      <c r="BV702" t="s">
        <v>90</v>
      </c>
      <c r="BW702" t="s">
        <v>136</v>
      </c>
      <c r="BX702" t="s">
        <v>1222</v>
      </c>
      <c r="BY702">
        <v>8512</v>
      </c>
      <c r="CA702" t="s">
        <v>157</v>
      </c>
      <c r="CC702" t="s">
        <v>307</v>
      </c>
      <c r="CD702">
        <v>4113</v>
      </c>
      <c r="CE702" t="s">
        <v>107</v>
      </c>
      <c r="CF702" s="3">
        <v>45945</v>
      </c>
      <c r="CI702">
        <v>1</v>
      </c>
      <c r="CJ702">
        <v>1</v>
      </c>
      <c r="CK702">
        <v>21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"080068368580"</f>
        <v>080068368580</v>
      </c>
      <c r="F703" s="3">
        <v>45937</v>
      </c>
      <c r="G703">
        <v>202607</v>
      </c>
      <c r="H703" t="s">
        <v>79</v>
      </c>
      <c r="I703" t="s">
        <v>80</v>
      </c>
      <c r="J703" t="s">
        <v>91</v>
      </c>
      <c r="K703" t="s">
        <v>78</v>
      </c>
      <c r="L703" t="s">
        <v>453</v>
      </c>
      <c r="M703" t="s">
        <v>454</v>
      </c>
      <c r="N703" t="s">
        <v>1397</v>
      </c>
      <c r="O703" t="s">
        <v>82</v>
      </c>
      <c r="P703" t="str">
        <f>"4170063225                    "</f>
        <v xml:space="preserve">4170063225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22.36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70.959999999999994</v>
      </c>
      <c r="BM703">
        <v>10.64</v>
      </c>
      <c r="BN703">
        <v>81.599999999999994</v>
      </c>
      <c r="BO703">
        <v>81.599999999999994</v>
      </c>
      <c r="BQ703" t="s">
        <v>1398</v>
      </c>
      <c r="BR703" t="s">
        <v>97</v>
      </c>
      <c r="BS703" s="3">
        <v>45938</v>
      </c>
      <c r="BT703" s="4">
        <v>0.41666666666666669</v>
      </c>
      <c r="BU703" t="s">
        <v>1399</v>
      </c>
      <c r="BV703" t="s">
        <v>86</v>
      </c>
      <c r="BY703">
        <v>1200</v>
      </c>
      <c r="CA703" t="s">
        <v>457</v>
      </c>
      <c r="CC703" t="s">
        <v>454</v>
      </c>
      <c r="CD703">
        <v>3600</v>
      </c>
      <c r="CE703" t="s">
        <v>147</v>
      </c>
      <c r="CF703" s="3">
        <v>45938</v>
      </c>
      <c r="CI703">
        <v>1</v>
      </c>
      <c r="CJ703">
        <v>1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"080068368589"</f>
        <v>080068368589</v>
      </c>
      <c r="F704" s="3">
        <v>45937</v>
      </c>
      <c r="G704">
        <v>202607</v>
      </c>
      <c r="H704" t="s">
        <v>79</v>
      </c>
      <c r="I704" t="s">
        <v>80</v>
      </c>
      <c r="J704" t="s">
        <v>91</v>
      </c>
      <c r="K704" t="s">
        <v>78</v>
      </c>
      <c r="L704" t="s">
        <v>92</v>
      </c>
      <c r="M704" t="s">
        <v>93</v>
      </c>
      <c r="N704" t="s">
        <v>601</v>
      </c>
      <c r="O704" t="s">
        <v>82</v>
      </c>
      <c r="P704" t="str">
        <f>"4170063186                    "</f>
        <v xml:space="preserve">4170063186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145.21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13</v>
      </c>
      <c r="BJ704">
        <v>8.9</v>
      </c>
      <c r="BK704">
        <v>13</v>
      </c>
      <c r="BL704">
        <v>460.89</v>
      </c>
      <c r="BM704">
        <v>69.13</v>
      </c>
      <c r="BN704">
        <v>530.02</v>
      </c>
      <c r="BO704">
        <v>530.02</v>
      </c>
      <c r="BQ704" t="s">
        <v>602</v>
      </c>
      <c r="BR704" t="s">
        <v>97</v>
      </c>
      <c r="BS704" s="3">
        <v>45938</v>
      </c>
      <c r="BT704" s="4">
        <v>0.4513888888888889</v>
      </c>
      <c r="BU704" t="s">
        <v>1376</v>
      </c>
      <c r="BV704" t="s">
        <v>86</v>
      </c>
      <c r="BY704">
        <v>44640</v>
      </c>
      <c r="CC704" t="s">
        <v>93</v>
      </c>
      <c r="CD704">
        <v>3212</v>
      </c>
      <c r="CE704" t="s">
        <v>191</v>
      </c>
      <c r="CF704" s="3">
        <v>45939</v>
      </c>
      <c r="CI704">
        <v>2</v>
      </c>
      <c r="CJ704">
        <v>1</v>
      </c>
      <c r="CK704">
        <v>21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"080068368747"</f>
        <v>080068368747</v>
      </c>
      <c r="F705" s="3">
        <v>45937</v>
      </c>
      <c r="G705">
        <v>202607</v>
      </c>
      <c r="H705" t="s">
        <v>79</v>
      </c>
      <c r="I705" t="s">
        <v>80</v>
      </c>
      <c r="J705" t="s">
        <v>91</v>
      </c>
      <c r="K705" t="s">
        <v>78</v>
      </c>
      <c r="L705" t="s">
        <v>271</v>
      </c>
      <c r="M705" t="s">
        <v>272</v>
      </c>
      <c r="N705" t="s">
        <v>1416</v>
      </c>
      <c r="O705" t="s">
        <v>82</v>
      </c>
      <c r="P705" t="str">
        <f>"4170063288                    "</f>
        <v xml:space="preserve">4170063288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17.46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55.42</v>
      </c>
      <c r="BM705">
        <v>8.31</v>
      </c>
      <c r="BN705">
        <v>63.73</v>
      </c>
      <c r="BO705">
        <v>63.73</v>
      </c>
      <c r="BQ705" t="s">
        <v>1417</v>
      </c>
      <c r="BR705" t="s">
        <v>97</v>
      </c>
      <c r="BS705" s="3">
        <v>45938</v>
      </c>
      <c r="BT705" s="4">
        <v>0.38541666666666669</v>
      </c>
      <c r="BU705" t="s">
        <v>1418</v>
      </c>
      <c r="BV705" t="s">
        <v>86</v>
      </c>
      <c r="BY705">
        <v>1200</v>
      </c>
      <c r="CA705" t="s">
        <v>661</v>
      </c>
      <c r="CC705" t="s">
        <v>272</v>
      </c>
      <c r="CD705">
        <v>1428</v>
      </c>
      <c r="CE705" t="s">
        <v>147</v>
      </c>
      <c r="CF705" s="3">
        <v>45938</v>
      </c>
      <c r="CI705">
        <v>1</v>
      </c>
      <c r="CJ705">
        <v>1</v>
      </c>
      <c r="CK705">
        <v>22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"080068368764"</f>
        <v>080068368764</v>
      </c>
      <c r="F706" s="3">
        <v>45937</v>
      </c>
      <c r="G706">
        <v>202607</v>
      </c>
      <c r="H706" t="s">
        <v>79</v>
      </c>
      <c r="I706" t="s">
        <v>80</v>
      </c>
      <c r="J706" t="s">
        <v>91</v>
      </c>
      <c r="K706" t="s">
        <v>78</v>
      </c>
      <c r="L706" t="s">
        <v>148</v>
      </c>
      <c r="M706" t="s">
        <v>149</v>
      </c>
      <c r="N706" t="s">
        <v>1100</v>
      </c>
      <c r="O706" t="s">
        <v>82</v>
      </c>
      <c r="P706" t="str">
        <f>"4170063137                    "</f>
        <v xml:space="preserve">4170063137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17.46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55.42</v>
      </c>
      <c r="BM706">
        <v>8.31</v>
      </c>
      <c r="BN706">
        <v>63.73</v>
      </c>
      <c r="BO706">
        <v>63.73</v>
      </c>
      <c r="BQ706" t="s">
        <v>1419</v>
      </c>
      <c r="BR706" t="s">
        <v>97</v>
      </c>
      <c r="BS706" s="3">
        <v>45938</v>
      </c>
      <c r="BT706" s="4">
        <v>0.3298611111111111</v>
      </c>
      <c r="BU706" t="s">
        <v>1420</v>
      </c>
      <c r="BV706" t="s">
        <v>86</v>
      </c>
      <c r="BY706">
        <v>1200</v>
      </c>
      <c r="CA706" t="s">
        <v>1421</v>
      </c>
      <c r="CC706" t="s">
        <v>149</v>
      </c>
      <c r="CD706">
        <v>2042</v>
      </c>
      <c r="CE706" t="s">
        <v>147</v>
      </c>
      <c r="CF706" s="3">
        <v>45938</v>
      </c>
      <c r="CI706">
        <v>1</v>
      </c>
      <c r="CJ706">
        <v>1</v>
      </c>
      <c r="CK706">
        <v>22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"080068368797"</f>
        <v>080068368797</v>
      </c>
      <c r="F707" s="3">
        <v>45937</v>
      </c>
      <c r="G707">
        <v>202607</v>
      </c>
      <c r="H707" t="s">
        <v>79</v>
      </c>
      <c r="I707" t="s">
        <v>80</v>
      </c>
      <c r="J707" t="s">
        <v>91</v>
      </c>
      <c r="K707" t="s">
        <v>78</v>
      </c>
      <c r="L707" t="s">
        <v>605</v>
      </c>
      <c r="M707" t="s">
        <v>606</v>
      </c>
      <c r="N707" t="s">
        <v>607</v>
      </c>
      <c r="O707" t="s">
        <v>95</v>
      </c>
      <c r="P707" t="str">
        <f>"4170063174                    "</f>
        <v xml:space="preserve">4170063174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60.97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2</v>
      </c>
      <c r="BJ707">
        <v>1.3</v>
      </c>
      <c r="BK707">
        <v>2</v>
      </c>
      <c r="BL707">
        <v>199.39</v>
      </c>
      <c r="BM707">
        <v>29.91</v>
      </c>
      <c r="BN707">
        <v>229.3</v>
      </c>
      <c r="BO707">
        <v>229.3</v>
      </c>
      <c r="BQ707" t="s">
        <v>608</v>
      </c>
      <c r="BR707" t="s">
        <v>97</v>
      </c>
      <c r="BS707" s="3">
        <v>45938</v>
      </c>
      <c r="BT707" s="4">
        <v>0.32500000000000001</v>
      </c>
      <c r="BU707" t="s">
        <v>1422</v>
      </c>
      <c r="BV707" t="s">
        <v>86</v>
      </c>
      <c r="BY707">
        <v>6555</v>
      </c>
      <c r="CA707" t="s">
        <v>1143</v>
      </c>
      <c r="CC707" t="s">
        <v>606</v>
      </c>
      <c r="CD707">
        <v>1947</v>
      </c>
      <c r="CE707" t="s">
        <v>931</v>
      </c>
      <c r="CF707" s="3">
        <v>45939</v>
      </c>
      <c r="CI707">
        <v>1</v>
      </c>
      <c r="CJ707">
        <v>1</v>
      </c>
      <c r="CK707">
        <v>43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"080068368836"</f>
        <v>080068368836</v>
      </c>
      <c r="F708" s="3">
        <v>45937</v>
      </c>
      <c r="G708">
        <v>202607</v>
      </c>
      <c r="H708" t="s">
        <v>79</v>
      </c>
      <c r="I708" t="s">
        <v>80</v>
      </c>
      <c r="J708" t="s">
        <v>91</v>
      </c>
      <c r="K708" t="s">
        <v>78</v>
      </c>
      <c r="L708" t="s">
        <v>985</v>
      </c>
      <c r="M708" t="s">
        <v>986</v>
      </c>
      <c r="N708" t="s">
        <v>987</v>
      </c>
      <c r="O708" t="s">
        <v>82</v>
      </c>
      <c r="P708" t="str">
        <f>"4170063191                    "</f>
        <v xml:space="preserve">4170063191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89.37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8</v>
      </c>
      <c r="BJ708">
        <v>5.9</v>
      </c>
      <c r="BK708">
        <v>8</v>
      </c>
      <c r="BL708">
        <v>283.64999999999998</v>
      </c>
      <c r="BM708">
        <v>42.55</v>
      </c>
      <c r="BN708">
        <v>326.2</v>
      </c>
      <c r="BO708">
        <v>326.2</v>
      </c>
      <c r="BQ708" t="s">
        <v>988</v>
      </c>
      <c r="BR708" t="s">
        <v>97</v>
      </c>
      <c r="BS708" s="3">
        <v>45938</v>
      </c>
      <c r="BT708" s="4">
        <v>0.42986111111111114</v>
      </c>
      <c r="BU708" t="s">
        <v>1358</v>
      </c>
      <c r="BV708" t="s">
        <v>86</v>
      </c>
      <c r="BY708">
        <v>29700</v>
      </c>
      <c r="CA708" t="s">
        <v>1359</v>
      </c>
      <c r="CC708" t="s">
        <v>986</v>
      </c>
      <c r="CD708">
        <v>7600</v>
      </c>
      <c r="CE708" t="s">
        <v>107</v>
      </c>
      <c r="CF708" s="3">
        <v>45939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"080068368880"</f>
        <v>080068368880</v>
      </c>
      <c r="F709" s="3">
        <v>45937</v>
      </c>
      <c r="G709">
        <v>202607</v>
      </c>
      <c r="H709" t="s">
        <v>79</v>
      </c>
      <c r="I709" t="s">
        <v>80</v>
      </c>
      <c r="J709" t="s">
        <v>91</v>
      </c>
      <c r="K709" t="s">
        <v>78</v>
      </c>
      <c r="L709" t="s">
        <v>487</v>
      </c>
      <c r="M709" t="s">
        <v>488</v>
      </c>
      <c r="N709" t="s">
        <v>489</v>
      </c>
      <c r="O709" t="s">
        <v>82</v>
      </c>
      <c r="P709" t="str">
        <f>"4170063168                    "</f>
        <v xml:space="preserve">4170063168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101.99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5</v>
      </c>
      <c r="BJ709">
        <v>3.4</v>
      </c>
      <c r="BK709">
        <v>5</v>
      </c>
      <c r="BL709">
        <v>323.70999999999998</v>
      </c>
      <c r="BM709">
        <v>48.56</v>
      </c>
      <c r="BN709">
        <v>372.27</v>
      </c>
      <c r="BO709">
        <v>372.27</v>
      </c>
      <c r="BQ709" t="s">
        <v>490</v>
      </c>
      <c r="BR709" t="s">
        <v>97</v>
      </c>
      <c r="BS709" s="3">
        <v>45938</v>
      </c>
      <c r="BT709" s="4">
        <v>0.56111111111111112</v>
      </c>
      <c r="BU709" t="s">
        <v>604</v>
      </c>
      <c r="BV709" t="s">
        <v>86</v>
      </c>
      <c r="BY709">
        <v>16965</v>
      </c>
      <c r="CA709" t="s">
        <v>1265</v>
      </c>
      <c r="CC709" t="s">
        <v>488</v>
      </c>
      <c r="CD709">
        <v>6715</v>
      </c>
      <c r="CE709" t="s">
        <v>191</v>
      </c>
      <c r="CF709" s="3">
        <v>45939</v>
      </c>
      <c r="CI709">
        <v>2</v>
      </c>
      <c r="CJ709">
        <v>1</v>
      </c>
      <c r="CK709">
        <v>23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"080068368923"</f>
        <v>080068368923</v>
      </c>
      <c r="F710" s="3">
        <v>45937</v>
      </c>
      <c r="G710">
        <v>202607</v>
      </c>
      <c r="H710" t="s">
        <v>79</v>
      </c>
      <c r="I710" t="s">
        <v>80</v>
      </c>
      <c r="J710" t="s">
        <v>91</v>
      </c>
      <c r="K710" t="s">
        <v>78</v>
      </c>
      <c r="L710" t="s">
        <v>79</v>
      </c>
      <c r="M710" t="s">
        <v>80</v>
      </c>
      <c r="N710" t="s">
        <v>357</v>
      </c>
      <c r="O710" t="s">
        <v>82</v>
      </c>
      <c r="P710" t="str">
        <f>"4170063293                    "</f>
        <v xml:space="preserve">4170063293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17.46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1.6</v>
      </c>
      <c r="BK710">
        <v>2</v>
      </c>
      <c r="BL710">
        <v>55.42</v>
      </c>
      <c r="BM710">
        <v>8.31</v>
      </c>
      <c r="BN710">
        <v>63.73</v>
      </c>
      <c r="BO710">
        <v>63.73</v>
      </c>
      <c r="BQ710" t="s">
        <v>358</v>
      </c>
      <c r="BR710" t="s">
        <v>97</v>
      </c>
      <c r="BS710" s="3">
        <v>45938</v>
      </c>
      <c r="BT710" s="4">
        <v>0.41666666666666669</v>
      </c>
      <c r="BU710" t="s">
        <v>1423</v>
      </c>
      <c r="BV710" t="s">
        <v>86</v>
      </c>
      <c r="BY710">
        <v>7980</v>
      </c>
      <c r="CC710" t="s">
        <v>80</v>
      </c>
      <c r="CD710">
        <v>1645</v>
      </c>
      <c r="CE710" t="s">
        <v>191</v>
      </c>
      <c r="CF710" s="3">
        <v>45939</v>
      </c>
      <c r="CI710">
        <v>1</v>
      </c>
      <c r="CJ710">
        <v>1</v>
      </c>
      <c r="CK710">
        <v>22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"080068369001"</f>
        <v>080068369001</v>
      </c>
      <c r="F711" s="3">
        <v>45937</v>
      </c>
      <c r="G711">
        <v>202607</v>
      </c>
      <c r="H711" t="s">
        <v>79</v>
      </c>
      <c r="I711" t="s">
        <v>80</v>
      </c>
      <c r="J711" t="s">
        <v>91</v>
      </c>
      <c r="K711" t="s">
        <v>78</v>
      </c>
      <c r="L711" t="s">
        <v>271</v>
      </c>
      <c r="M711" t="s">
        <v>272</v>
      </c>
      <c r="N711" t="s">
        <v>277</v>
      </c>
      <c r="O711" t="s">
        <v>226</v>
      </c>
      <c r="P711" t="str">
        <f>"4170063067                    "</f>
        <v xml:space="preserve">4170063067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25.3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7</v>
      </c>
      <c r="BJ711">
        <v>12</v>
      </c>
      <c r="BK711">
        <v>12</v>
      </c>
      <c r="BL711">
        <v>80.31</v>
      </c>
      <c r="BM711">
        <v>12.05</v>
      </c>
      <c r="BN711">
        <v>92.36</v>
      </c>
      <c r="BO711">
        <v>92.36</v>
      </c>
      <c r="BQ711" t="s">
        <v>278</v>
      </c>
      <c r="BR711" t="s">
        <v>97</v>
      </c>
      <c r="BS711" s="3">
        <v>45938</v>
      </c>
      <c r="BT711" s="4">
        <v>0.3888888888888889</v>
      </c>
      <c r="BU711" t="s">
        <v>1424</v>
      </c>
      <c r="BV711" t="s">
        <v>86</v>
      </c>
      <c r="BY711">
        <v>59904</v>
      </c>
      <c r="CA711" t="s">
        <v>280</v>
      </c>
      <c r="CC711" t="s">
        <v>272</v>
      </c>
      <c r="CD711">
        <v>1401</v>
      </c>
      <c r="CE711" t="s">
        <v>107</v>
      </c>
      <c r="CF711" s="3">
        <v>45939</v>
      </c>
      <c r="CI711">
        <v>1</v>
      </c>
      <c r="CJ711">
        <v>1</v>
      </c>
      <c r="CK711">
        <v>32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"080068369051"</f>
        <v>080068369051</v>
      </c>
      <c r="F712" s="3">
        <v>45937</v>
      </c>
      <c r="G712">
        <v>202607</v>
      </c>
      <c r="H712" t="s">
        <v>79</v>
      </c>
      <c r="I712" t="s">
        <v>80</v>
      </c>
      <c r="J712" t="s">
        <v>91</v>
      </c>
      <c r="K712" t="s">
        <v>78</v>
      </c>
      <c r="L712" t="s">
        <v>75</v>
      </c>
      <c r="M712" t="s">
        <v>76</v>
      </c>
      <c r="N712" t="s">
        <v>1425</v>
      </c>
      <c r="O712" t="s">
        <v>82</v>
      </c>
      <c r="P712" t="str">
        <f>"4170063290                    "</f>
        <v xml:space="preserve">4170063290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17.46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1.1000000000000001</v>
      </c>
      <c r="BK712">
        <v>2</v>
      </c>
      <c r="BL712">
        <v>55.42</v>
      </c>
      <c r="BM712">
        <v>8.31</v>
      </c>
      <c r="BN712">
        <v>63.73</v>
      </c>
      <c r="BO712">
        <v>63.73</v>
      </c>
      <c r="BQ712" t="s">
        <v>1426</v>
      </c>
      <c r="BR712" t="s">
        <v>97</v>
      </c>
      <c r="BS712" s="3">
        <v>45938</v>
      </c>
      <c r="BT712" s="4">
        <v>0.3888888888888889</v>
      </c>
      <c r="BU712" t="s">
        <v>1427</v>
      </c>
      <c r="BV712" t="s">
        <v>86</v>
      </c>
      <c r="BY712">
        <v>5320</v>
      </c>
      <c r="CA712" t="s">
        <v>1284</v>
      </c>
      <c r="CC712" t="s">
        <v>76</v>
      </c>
      <c r="CD712">
        <v>2170</v>
      </c>
      <c r="CE712" t="s">
        <v>191</v>
      </c>
      <c r="CF712" s="3">
        <v>45938</v>
      </c>
      <c r="CI712">
        <v>1</v>
      </c>
      <c r="CJ712">
        <v>1</v>
      </c>
      <c r="CK712">
        <v>22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"080068369099"</f>
        <v>080068369099</v>
      </c>
      <c r="F713" s="3">
        <v>45937</v>
      </c>
      <c r="G713">
        <v>202607</v>
      </c>
      <c r="H713" t="s">
        <v>79</v>
      </c>
      <c r="I713" t="s">
        <v>80</v>
      </c>
      <c r="J713" t="s">
        <v>91</v>
      </c>
      <c r="K713" t="s">
        <v>78</v>
      </c>
      <c r="L713" t="s">
        <v>168</v>
      </c>
      <c r="M713" t="s">
        <v>169</v>
      </c>
      <c r="N713" t="s">
        <v>737</v>
      </c>
      <c r="O713" t="s">
        <v>82</v>
      </c>
      <c r="P713" t="str">
        <f>"4170063162                    "</f>
        <v xml:space="preserve">4170063162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22.36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1.1000000000000001</v>
      </c>
      <c r="BK713">
        <v>1.5</v>
      </c>
      <c r="BL713">
        <v>70.959999999999994</v>
      </c>
      <c r="BM713">
        <v>10.64</v>
      </c>
      <c r="BN713">
        <v>81.599999999999994</v>
      </c>
      <c r="BO713">
        <v>81.599999999999994</v>
      </c>
      <c r="BQ713" t="s">
        <v>738</v>
      </c>
      <c r="BR713" t="s">
        <v>97</v>
      </c>
      <c r="BS713" s="3">
        <v>45938</v>
      </c>
      <c r="BT713" s="4">
        <v>0.3923611111111111</v>
      </c>
      <c r="BU713" t="s">
        <v>1153</v>
      </c>
      <c r="BV713" t="s">
        <v>86</v>
      </c>
      <c r="BY713">
        <v>5510</v>
      </c>
      <c r="CC713" t="s">
        <v>169</v>
      </c>
      <c r="CD713" s="5" t="s">
        <v>173</v>
      </c>
      <c r="CE713" t="s">
        <v>191</v>
      </c>
      <c r="CF713" s="3">
        <v>45938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"080068369107"</f>
        <v>080068369107</v>
      </c>
      <c r="F714" s="3">
        <v>45937</v>
      </c>
      <c r="G714">
        <v>202607</v>
      </c>
      <c r="H714" t="s">
        <v>79</v>
      </c>
      <c r="I714" t="s">
        <v>80</v>
      </c>
      <c r="J714" t="s">
        <v>91</v>
      </c>
      <c r="K714" t="s">
        <v>78</v>
      </c>
      <c r="L714" t="s">
        <v>271</v>
      </c>
      <c r="M714" t="s">
        <v>272</v>
      </c>
      <c r="N714" t="s">
        <v>1428</v>
      </c>
      <c r="O714" t="s">
        <v>82</v>
      </c>
      <c r="P714" t="str">
        <f>"4170063271                    "</f>
        <v xml:space="preserve">4170063271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17.46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55.42</v>
      </c>
      <c r="BM714">
        <v>8.31</v>
      </c>
      <c r="BN714">
        <v>63.73</v>
      </c>
      <c r="BO714">
        <v>63.73</v>
      </c>
      <c r="BQ714" t="s">
        <v>1429</v>
      </c>
      <c r="BR714" t="s">
        <v>97</v>
      </c>
      <c r="BS714" s="3">
        <v>45938</v>
      </c>
      <c r="BT714" s="4">
        <v>0.3923611111111111</v>
      </c>
      <c r="BU714" t="s">
        <v>1430</v>
      </c>
      <c r="BV714" t="s">
        <v>86</v>
      </c>
      <c r="BY714">
        <v>1200</v>
      </c>
      <c r="CA714" t="s">
        <v>280</v>
      </c>
      <c r="CC714" t="s">
        <v>272</v>
      </c>
      <c r="CD714">
        <v>1406</v>
      </c>
      <c r="CE714" t="s">
        <v>147</v>
      </c>
      <c r="CF714" s="3">
        <v>45939</v>
      </c>
      <c r="CI714">
        <v>1</v>
      </c>
      <c r="CJ714">
        <v>1</v>
      </c>
      <c r="CK714">
        <v>22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"080068369148"</f>
        <v>080068369148</v>
      </c>
      <c r="F715" s="3">
        <v>45937</v>
      </c>
      <c r="G715">
        <v>202607</v>
      </c>
      <c r="H715" t="s">
        <v>79</v>
      </c>
      <c r="I715" t="s">
        <v>80</v>
      </c>
      <c r="J715" t="s">
        <v>91</v>
      </c>
      <c r="K715" t="s">
        <v>78</v>
      </c>
      <c r="L715" t="s">
        <v>218</v>
      </c>
      <c r="M715" t="s">
        <v>219</v>
      </c>
      <c r="N715" t="s">
        <v>1431</v>
      </c>
      <c r="O715" t="s">
        <v>82</v>
      </c>
      <c r="P715" t="str">
        <f>"4170063175                    "</f>
        <v xml:space="preserve">4170063175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17.46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</v>
      </c>
      <c r="BJ715">
        <v>5.5</v>
      </c>
      <c r="BK715">
        <v>6</v>
      </c>
      <c r="BL715">
        <v>55.42</v>
      </c>
      <c r="BM715">
        <v>8.31</v>
      </c>
      <c r="BN715">
        <v>63.73</v>
      </c>
      <c r="BO715">
        <v>63.73</v>
      </c>
      <c r="BQ715" t="s">
        <v>1432</v>
      </c>
      <c r="BR715" t="s">
        <v>97</v>
      </c>
      <c r="BS715" s="3">
        <v>45938</v>
      </c>
      <c r="BT715" s="4">
        <v>0.36805555555555558</v>
      </c>
      <c r="BU715" t="s">
        <v>1433</v>
      </c>
      <c r="BV715" t="s">
        <v>86</v>
      </c>
      <c r="BY715">
        <v>27744</v>
      </c>
      <c r="CA715" t="s">
        <v>1434</v>
      </c>
      <c r="CC715" t="s">
        <v>219</v>
      </c>
      <c r="CD715">
        <v>1559</v>
      </c>
      <c r="CE715" t="s">
        <v>1262</v>
      </c>
      <c r="CF715" s="3">
        <v>45939</v>
      </c>
      <c r="CI715">
        <v>1</v>
      </c>
      <c r="CJ715">
        <v>1</v>
      </c>
      <c r="CK715">
        <v>22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"080068369178"</f>
        <v>080068369178</v>
      </c>
      <c r="F716" s="3">
        <v>45937</v>
      </c>
      <c r="G716">
        <v>202607</v>
      </c>
      <c r="H716" t="s">
        <v>79</v>
      </c>
      <c r="I716" t="s">
        <v>80</v>
      </c>
      <c r="J716" t="s">
        <v>91</v>
      </c>
      <c r="K716" t="s">
        <v>78</v>
      </c>
      <c r="L716" t="s">
        <v>180</v>
      </c>
      <c r="M716" t="s">
        <v>181</v>
      </c>
      <c r="N716" t="s">
        <v>182</v>
      </c>
      <c r="O716" t="s">
        <v>95</v>
      </c>
      <c r="P716" t="str">
        <f>"4170063172                    "</f>
        <v xml:space="preserve">4170063172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60.97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10</v>
      </c>
      <c r="BJ716">
        <v>5.2</v>
      </c>
      <c r="BK716">
        <v>10</v>
      </c>
      <c r="BL716">
        <v>199.39</v>
      </c>
      <c r="BM716">
        <v>29.91</v>
      </c>
      <c r="BN716">
        <v>229.3</v>
      </c>
      <c r="BO716">
        <v>229.3</v>
      </c>
      <c r="BQ716" t="s">
        <v>183</v>
      </c>
      <c r="BR716" t="s">
        <v>97</v>
      </c>
      <c r="BS716" s="3">
        <v>45938</v>
      </c>
      <c r="BT716" s="4">
        <v>0.49791666666666667</v>
      </c>
      <c r="BU716" t="s">
        <v>184</v>
      </c>
      <c r="BV716" t="s">
        <v>86</v>
      </c>
      <c r="BY716">
        <v>26013</v>
      </c>
      <c r="CC716" t="s">
        <v>181</v>
      </c>
      <c r="CD716">
        <v>1028</v>
      </c>
      <c r="CE716" t="s">
        <v>1435</v>
      </c>
      <c r="CF716" s="3">
        <v>45938</v>
      </c>
      <c r="CI716">
        <v>1</v>
      </c>
      <c r="CJ716">
        <v>1</v>
      </c>
      <c r="CK716">
        <v>43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"080068369198"</f>
        <v>080068369198</v>
      </c>
      <c r="F717" s="3">
        <v>45937</v>
      </c>
      <c r="G717">
        <v>202607</v>
      </c>
      <c r="H717" t="s">
        <v>79</v>
      </c>
      <c r="I717" t="s">
        <v>80</v>
      </c>
      <c r="J717" t="s">
        <v>91</v>
      </c>
      <c r="K717" t="s">
        <v>78</v>
      </c>
      <c r="L717" t="s">
        <v>306</v>
      </c>
      <c r="M717" t="s">
        <v>307</v>
      </c>
      <c r="N717" t="s">
        <v>335</v>
      </c>
      <c r="O717" t="s">
        <v>82</v>
      </c>
      <c r="P717" t="str">
        <f>"4170063046                    "</f>
        <v xml:space="preserve">4170063046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61.45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3</v>
      </c>
      <c r="BJ717">
        <v>5.5</v>
      </c>
      <c r="BK717">
        <v>5.5</v>
      </c>
      <c r="BL717">
        <v>195.03</v>
      </c>
      <c r="BM717">
        <v>29.25</v>
      </c>
      <c r="BN717">
        <v>224.28</v>
      </c>
      <c r="BO717">
        <v>224.28</v>
      </c>
      <c r="BQ717" t="s">
        <v>475</v>
      </c>
      <c r="BR717" t="s">
        <v>97</v>
      </c>
      <c r="BS717" s="3">
        <v>45938</v>
      </c>
      <c r="BT717" s="4">
        <v>0.79652777777777772</v>
      </c>
      <c r="BU717" t="s">
        <v>1436</v>
      </c>
      <c r="BV717" t="s">
        <v>90</v>
      </c>
      <c r="BW717" t="s">
        <v>136</v>
      </c>
      <c r="BX717" t="s">
        <v>1222</v>
      </c>
      <c r="BY717">
        <v>27648</v>
      </c>
      <c r="CA717" t="s">
        <v>157</v>
      </c>
      <c r="CC717" t="s">
        <v>307</v>
      </c>
      <c r="CD717">
        <v>4133</v>
      </c>
      <c r="CE717" t="s">
        <v>1262</v>
      </c>
      <c r="CF717" s="3">
        <v>45938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"080068369371"</f>
        <v>080068369371</v>
      </c>
      <c r="F718" s="3">
        <v>45937</v>
      </c>
      <c r="G718">
        <v>202607</v>
      </c>
      <c r="H718" t="s">
        <v>79</v>
      </c>
      <c r="I718" t="s">
        <v>80</v>
      </c>
      <c r="J718" t="s">
        <v>91</v>
      </c>
      <c r="K718" t="s">
        <v>78</v>
      </c>
      <c r="L718" t="s">
        <v>114</v>
      </c>
      <c r="M718" t="s">
        <v>115</v>
      </c>
      <c r="N718" t="s">
        <v>1235</v>
      </c>
      <c r="O718" t="s">
        <v>82</v>
      </c>
      <c r="P718" t="str">
        <f>"4170063244                    "</f>
        <v xml:space="preserve">4170063244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78.2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2</v>
      </c>
      <c r="BI718">
        <v>4</v>
      </c>
      <c r="BJ718">
        <v>6.8</v>
      </c>
      <c r="BK718">
        <v>7</v>
      </c>
      <c r="BL718">
        <v>248.2</v>
      </c>
      <c r="BM718">
        <v>37.229999999999997</v>
      </c>
      <c r="BN718">
        <v>285.43</v>
      </c>
      <c r="BO718">
        <v>285.43</v>
      </c>
      <c r="BQ718" t="s">
        <v>1236</v>
      </c>
      <c r="BR718" t="s">
        <v>97</v>
      </c>
      <c r="BS718" s="3">
        <v>45938</v>
      </c>
      <c r="BT718" s="4">
        <v>0.62152777777777779</v>
      </c>
      <c r="BU718" t="s">
        <v>1437</v>
      </c>
      <c r="BV718" t="s">
        <v>90</v>
      </c>
      <c r="BY718">
        <v>16965</v>
      </c>
      <c r="CA718" t="s">
        <v>1017</v>
      </c>
      <c r="CC718" t="s">
        <v>115</v>
      </c>
      <c r="CD718">
        <v>5201</v>
      </c>
      <c r="CE718" t="s">
        <v>191</v>
      </c>
      <c r="CF718" s="3">
        <v>45938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"080068369434"</f>
        <v>080068369434</v>
      </c>
      <c r="F719" s="3">
        <v>45937</v>
      </c>
      <c r="G719">
        <v>202607</v>
      </c>
      <c r="H719" t="s">
        <v>79</v>
      </c>
      <c r="I719" t="s">
        <v>80</v>
      </c>
      <c r="J719" t="s">
        <v>91</v>
      </c>
      <c r="K719" t="s">
        <v>78</v>
      </c>
      <c r="L719" t="s">
        <v>453</v>
      </c>
      <c r="M719" t="s">
        <v>454</v>
      </c>
      <c r="N719" t="s">
        <v>1438</v>
      </c>
      <c r="O719" t="s">
        <v>82</v>
      </c>
      <c r="P719" t="str">
        <f>"4170063319                    "</f>
        <v xml:space="preserve">4170063319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55.86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5</v>
      </c>
      <c r="BJ719">
        <v>4.5</v>
      </c>
      <c r="BK719">
        <v>5</v>
      </c>
      <c r="BL719">
        <v>177.3</v>
      </c>
      <c r="BM719">
        <v>26.6</v>
      </c>
      <c r="BN719">
        <v>203.9</v>
      </c>
      <c r="BO719">
        <v>203.9</v>
      </c>
      <c r="BQ719" t="s">
        <v>1439</v>
      </c>
      <c r="BR719" t="s">
        <v>97</v>
      </c>
      <c r="BS719" s="3">
        <v>45938</v>
      </c>
      <c r="BT719" s="4">
        <v>0.41597222222222224</v>
      </c>
      <c r="BU719" t="s">
        <v>1440</v>
      </c>
      <c r="BV719" t="s">
        <v>86</v>
      </c>
      <c r="BY719">
        <v>22620</v>
      </c>
      <c r="CA719" t="s">
        <v>457</v>
      </c>
      <c r="CC719" t="s">
        <v>454</v>
      </c>
      <c r="CD719">
        <v>3600</v>
      </c>
      <c r="CE719" t="s">
        <v>191</v>
      </c>
      <c r="CF719" s="3">
        <v>45938</v>
      </c>
      <c r="CI719">
        <v>1</v>
      </c>
      <c r="CJ719">
        <v>1</v>
      </c>
      <c r="CK719">
        <v>21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"080068369493"</f>
        <v>080068369493</v>
      </c>
      <c r="F720" s="3">
        <v>45937</v>
      </c>
      <c r="G720">
        <v>202607</v>
      </c>
      <c r="H720" t="s">
        <v>79</v>
      </c>
      <c r="I720" t="s">
        <v>80</v>
      </c>
      <c r="J720" t="s">
        <v>91</v>
      </c>
      <c r="K720" t="s">
        <v>78</v>
      </c>
      <c r="L720" t="s">
        <v>168</v>
      </c>
      <c r="M720" t="s">
        <v>169</v>
      </c>
      <c r="N720" t="s">
        <v>1218</v>
      </c>
      <c r="O720" t="s">
        <v>95</v>
      </c>
      <c r="P720" t="str">
        <f>"4170063199                    "</f>
        <v xml:space="preserve">4170063199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48.59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6</v>
      </c>
      <c r="BJ720">
        <v>17.7</v>
      </c>
      <c r="BK720">
        <v>18</v>
      </c>
      <c r="BL720">
        <v>160.08000000000001</v>
      </c>
      <c r="BM720">
        <v>24.01</v>
      </c>
      <c r="BN720">
        <v>184.09</v>
      </c>
      <c r="BO720">
        <v>184.09</v>
      </c>
      <c r="BQ720" t="s">
        <v>1219</v>
      </c>
      <c r="BR720" t="s">
        <v>97</v>
      </c>
      <c r="BS720" s="3">
        <v>45938</v>
      </c>
      <c r="BT720" s="4">
        <v>0.4201388888888889</v>
      </c>
      <c r="BU720" t="s">
        <v>1441</v>
      </c>
      <c r="BV720" t="s">
        <v>86</v>
      </c>
      <c r="BY720">
        <v>88320</v>
      </c>
      <c r="CA720" t="s">
        <v>1060</v>
      </c>
      <c r="CC720" t="s">
        <v>169</v>
      </c>
      <c r="CD720" s="5" t="s">
        <v>1061</v>
      </c>
      <c r="CE720" t="s">
        <v>191</v>
      </c>
      <c r="CF720" s="3">
        <v>45938</v>
      </c>
      <c r="CI720">
        <v>1</v>
      </c>
      <c r="CJ720">
        <v>1</v>
      </c>
      <c r="CK720">
        <v>41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"080068369585"</f>
        <v>080068369585</v>
      </c>
      <c r="F721" s="3">
        <v>45937</v>
      </c>
      <c r="G721">
        <v>202607</v>
      </c>
      <c r="H721" t="s">
        <v>79</v>
      </c>
      <c r="I721" t="s">
        <v>80</v>
      </c>
      <c r="J721" t="s">
        <v>91</v>
      </c>
      <c r="K721" t="s">
        <v>78</v>
      </c>
      <c r="L721" t="s">
        <v>206</v>
      </c>
      <c r="M721" t="s">
        <v>207</v>
      </c>
      <c r="N721" t="s">
        <v>656</v>
      </c>
      <c r="O721" t="s">
        <v>82</v>
      </c>
      <c r="P721" t="str">
        <f>"4170063234                    "</f>
        <v xml:space="preserve">4170063234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22.36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1.9</v>
      </c>
      <c r="BK721">
        <v>2</v>
      </c>
      <c r="BL721">
        <v>70.959999999999994</v>
      </c>
      <c r="BM721">
        <v>10.64</v>
      </c>
      <c r="BN721">
        <v>81.599999999999994</v>
      </c>
      <c r="BO721">
        <v>81.599999999999994</v>
      </c>
      <c r="BQ721" t="s">
        <v>657</v>
      </c>
      <c r="BR721" t="s">
        <v>97</v>
      </c>
      <c r="BS721" s="3">
        <v>45938</v>
      </c>
      <c r="BT721" s="4">
        <v>0.42222222222222222</v>
      </c>
      <c r="BU721" t="s">
        <v>1442</v>
      </c>
      <c r="BV721" t="s">
        <v>86</v>
      </c>
      <c r="BY721">
        <v>9576</v>
      </c>
      <c r="CA721" t="s">
        <v>770</v>
      </c>
      <c r="CC721" t="s">
        <v>207</v>
      </c>
      <c r="CD721">
        <v>7441</v>
      </c>
      <c r="CE721" t="s">
        <v>191</v>
      </c>
      <c r="CF721" s="3">
        <v>45939</v>
      </c>
      <c r="CI721">
        <v>1</v>
      </c>
      <c r="CJ721">
        <v>1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"080068369864"</f>
        <v>080068369864</v>
      </c>
      <c r="F722" s="3">
        <v>45937</v>
      </c>
      <c r="G722">
        <v>202607</v>
      </c>
      <c r="H722" t="s">
        <v>79</v>
      </c>
      <c r="I722" t="s">
        <v>80</v>
      </c>
      <c r="J722" t="s">
        <v>91</v>
      </c>
      <c r="K722" t="s">
        <v>78</v>
      </c>
      <c r="L722" t="s">
        <v>168</v>
      </c>
      <c r="M722" t="s">
        <v>169</v>
      </c>
      <c r="N722" t="s">
        <v>335</v>
      </c>
      <c r="O722" t="s">
        <v>82</v>
      </c>
      <c r="P722" t="str">
        <f>"4170063285                    "</f>
        <v xml:space="preserve">4170063285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33.520000000000003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3</v>
      </c>
      <c r="BJ722">
        <v>1.7</v>
      </c>
      <c r="BK722">
        <v>3</v>
      </c>
      <c r="BL722">
        <v>106.4</v>
      </c>
      <c r="BM722">
        <v>15.96</v>
      </c>
      <c r="BN722">
        <v>122.36</v>
      </c>
      <c r="BO722">
        <v>122.36</v>
      </c>
      <c r="BQ722" t="s">
        <v>475</v>
      </c>
      <c r="BR722" t="s">
        <v>97</v>
      </c>
      <c r="BS722" s="3">
        <v>45938</v>
      </c>
      <c r="BT722" s="4">
        <v>0.41805555555555557</v>
      </c>
      <c r="BU722" t="s">
        <v>1443</v>
      </c>
      <c r="BV722" t="s">
        <v>86</v>
      </c>
      <c r="BY722">
        <v>8265</v>
      </c>
      <c r="CC722" t="s">
        <v>169</v>
      </c>
      <c r="CD722" s="5" t="s">
        <v>190</v>
      </c>
      <c r="CE722" t="s">
        <v>191</v>
      </c>
      <c r="CF722" s="3">
        <v>45938</v>
      </c>
      <c r="CI722">
        <v>1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"080068370308"</f>
        <v>080068370308</v>
      </c>
      <c r="F723" s="3">
        <v>45937</v>
      </c>
      <c r="G723">
        <v>202607</v>
      </c>
      <c r="H723" t="s">
        <v>79</v>
      </c>
      <c r="I723" t="s">
        <v>80</v>
      </c>
      <c r="J723" t="s">
        <v>91</v>
      </c>
      <c r="K723" t="s">
        <v>78</v>
      </c>
      <c r="L723" t="s">
        <v>168</v>
      </c>
      <c r="M723" t="s">
        <v>169</v>
      </c>
      <c r="N723" t="s">
        <v>1218</v>
      </c>
      <c r="O723" t="s">
        <v>82</v>
      </c>
      <c r="P723" t="str">
        <f>"4170063014                    "</f>
        <v xml:space="preserve">4170063014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27.94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2.2999999999999998</v>
      </c>
      <c r="BK723">
        <v>2.5</v>
      </c>
      <c r="BL723">
        <v>88.68</v>
      </c>
      <c r="BM723">
        <v>13.3</v>
      </c>
      <c r="BN723">
        <v>101.98</v>
      </c>
      <c r="BO723">
        <v>101.98</v>
      </c>
      <c r="BQ723" t="s">
        <v>1219</v>
      </c>
      <c r="BR723" t="s">
        <v>97</v>
      </c>
      <c r="BS723" s="3">
        <v>45938</v>
      </c>
      <c r="BT723" s="4">
        <v>0.4201388888888889</v>
      </c>
      <c r="BU723" t="s">
        <v>1441</v>
      </c>
      <c r="BV723" t="s">
        <v>86</v>
      </c>
      <c r="BY723">
        <v>11424</v>
      </c>
      <c r="CA723" t="s">
        <v>1060</v>
      </c>
      <c r="CC723" t="s">
        <v>169</v>
      </c>
      <c r="CD723" s="5" t="s">
        <v>1061</v>
      </c>
      <c r="CE723" t="s">
        <v>107</v>
      </c>
      <c r="CF723" s="3">
        <v>45938</v>
      </c>
      <c r="CI723">
        <v>1</v>
      </c>
      <c r="CJ723">
        <v>1</v>
      </c>
      <c r="CK723">
        <v>21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"080068370311"</f>
        <v>080068370311</v>
      </c>
      <c r="F724" s="3">
        <v>45937</v>
      </c>
      <c r="G724">
        <v>202607</v>
      </c>
      <c r="H724" t="s">
        <v>79</v>
      </c>
      <c r="I724" t="s">
        <v>80</v>
      </c>
      <c r="J724" t="s">
        <v>91</v>
      </c>
      <c r="K724" t="s">
        <v>78</v>
      </c>
      <c r="L724" t="s">
        <v>946</v>
      </c>
      <c r="M724" t="s">
        <v>947</v>
      </c>
      <c r="N724" t="s">
        <v>948</v>
      </c>
      <c r="O724" t="s">
        <v>82</v>
      </c>
      <c r="P724" t="str">
        <f>"4170063281                    "</f>
        <v xml:space="preserve">4170063281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43.31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137.47</v>
      </c>
      <c r="BM724">
        <v>20.62</v>
      </c>
      <c r="BN724">
        <v>158.09</v>
      </c>
      <c r="BO724">
        <v>158.09</v>
      </c>
      <c r="BQ724" t="s">
        <v>949</v>
      </c>
      <c r="BR724" t="s">
        <v>97</v>
      </c>
      <c r="BS724" s="3">
        <v>45938</v>
      </c>
      <c r="BT724" s="4">
        <v>0.55694444444444446</v>
      </c>
      <c r="BU724" t="s">
        <v>1444</v>
      </c>
      <c r="BV724" t="s">
        <v>86</v>
      </c>
      <c r="BY724">
        <v>1200</v>
      </c>
      <c r="CA724" t="s">
        <v>951</v>
      </c>
      <c r="CC724" t="s">
        <v>947</v>
      </c>
      <c r="CD724">
        <v>6500</v>
      </c>
      <c r="CE724" t="s">
        <v>147</v>
      </c>
      <c r="CF724" s="3">
        <v>45938</v>
      </c>
      <c r="CI724">
        <v>1</v>
      </c>
      <c r="CJ724">
        <v>1</v>
      </c>
      <c r="CK724">
        <v>23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"080068370339"</f>
        <v>080068370339</v>
      </c>
      <c r="F725" s="3">
        <v>45937</v>
      </c>
      <c r="G725">
        <v>202607</v>
      </c>
      <c r="H725" t="s">
        <v>79</v>
      </c>
      <c r="I725" t="s">
        <v>80</v>
      </c>
      <c r="J725" t="s">
        <v>91</v>
      </c>
      <c r="K725" t="s">
        <v>78</v>
      </c>
      <c r="L725" t="s">
        <v>259</v>
      </c>
      <c r="M725" t="s">
        <v>260</v>
      </c>
      <c r="N725" t="s">
        <v>261</v>
      </c>
      <c r="O725" t="s">
        <v>82</v>
      </c>
      <c r="P725" t="str">
        <f>"4170063228                    "</f>
        <v xml:space="preserve">4170063228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43.31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1.8</v>
      </c>
      <c r="BK725">
        <v>2</v>
      </c>
      <c r="BL725">
        <v>137.47</v>
      </c>
      <c r="BM725">
        <v>20.62</v>
      </c>
      <c r="BN725">
        <v>158.09</v>
      </c>
      <c r="BO725">
        <v>158.09</v>
      </c>
      <c r="BQ725" t="s">
        <v>262</v>
      </c>
      <c r="BR725" t="s">
        <v>97</v>
      </c>
      <c r="BS725" s="3">
        <v>45938</v>
      </c>
      <c r="BT725" s="4">
        <v>0.61527777777777781</v>
      </c>
      <c r="BU725" t="s">
        <v>263</v>
      </c>
      <c r="BV725" t="s">
        <v>86</v>
      </c>
      <c r="BY725">
        <v>8816</v>
      </c>
      <c r="CA725" t="s">
        <v>264</v>
      </c>
      <c r="CC725" t="s">
        <v>260</v>
      </c>
      <c r="CD725">
        <v>2380</v>
      </c>
      <c r="CE725" t="s">
        <v>191</v>
      </c>
      <c r="CF725" s="3">
        <v>45939</v>
      </c>
      <c r="CI725">
        <v>1</v>
      </c>
      <c r="CJ725">
        <v>1</v>
      </c>
      <c r="CK725">
        <v>23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"080068370344"</f>
        <v>080068370344</v>
      </c>
      <c r="F726" s="3">
        <v>45937</v>
      </c>
      <c r="G726">
        <v>202607</v>
      </c>
      <c r="H726" t="s">
        <v>79</v>
      </c>
      <c r="I726" t="s">
        <v>80</v>
      </c>
      <c r="J726" t="s">
        <v>91</v>
      </c>
      <c r="K726" t="s">
        <v>78</v>
      </c>
      <c r="L726" t="s">
        <v>148</v>
      </c>
      <c r="M726" t="s">
        <v>149</v>
      </c>
      <c r="N726" t="s">
        <v>1445</v>
      </c>
      <c r="O726" t="s">
        <v>82</v>
      </c>
      <c r="P726" t="str">
        <f>"4170063343                    "</f>
        <v xml:space="preserve">4170063343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17.46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55.42</v>
      </c>
      <c r="BM726">
        <v>8.31</v>
      </c>
      <c r="BN726">
        <v>63.73</v>
      </c>
      <c r="BO726">
        <v>63.73</v>
      </c>
      <c r="BQ726" t="s">
        <v>1446</v>
      </c>
      <c r="BR726" t="s">
        <v>97</v>
      </c>
      <c r="BS726" s="3">
        <v>45938</v>
      </c>
      <c r="BT726" s="4">
        <v>0.41666666666666669</v>
      </c>
      <c r="BU726" t="s">
        <v>1447</v>
      </c>
      <c r="BV726" t="s">
        <v>86</v>
      </c>
      <c r="BY726">
        <v>1200</v>
      </c>
      <c r="CC726" t="s">
        <v>149</v>
      </c>
      <c r="CD726">
        <v>2065</v>
      </c>
      <c r="CE726" t="s">
        <v>147</v>
      </c>
      <c r="CF726" s="3">
        <v>45939</v>
      </c>
      <c r="CI726">
        <v>1</v>
      </c>
      <c r="CJ726">
        <v>1</v>
      </c>
      <c r="CK726">
        <v>22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"080068370366"</f>
        <v>080068370366</v>
      </c>
      <c r="F727" s="3">
        <v>45937</v>
      </c>
      <c r="G727">
        <v>202607</v>
      </c>
      <c r="H727" t="s">
        <v>79</v>
      </c>
      <c r="I727" t="s">
        <v>80</v>
      </c>
      <c r="J727" t="s">
        <v>91</v>
      </c>
      <c r="K727" t="s">
        <v>78</v>
      </c>
      <c r="L727" t="s">
        <v>1448</v>
      </c>
      <c r="M727" t="s">
        <v>1449</v>
      </c>
      <c r="N727" t="s">
        <v>1450</v>
      </c>
      <c r="O727" t="s">
        <v>82</v>
      </c>
      <c r="P727" t="str">
        <f>"4170063207                    "</f>
        <v xml:space="preserve">4170063207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43.31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137.47</v>
      </c>
      <c r="BM727">
        <v>20.62</v>
      </c>
      <c r="BN727">
        <v>158.09</v>
      </c>
      <c r="BO727">
        <v>158.09</v>
      </c>
      <c r="BQ727" t="s">
        <v>1451</v>
      </c>
      <c r="BR727" t="s">
        <v>97</v>
      </c>
      <c r="BS727" s="3">
        <v>45939</v>
      </c>
      <c r="BT727" s="4">
        <v>0.53819444444444442</v>
      </c>
      <c r="BU727" t="s">
        <v>1452</v>
      </c>
      <c r="BV727" t="s">
        <v>86</v>
      </c>
      <c r="BY727">
        <v>1200</v>
      </c>
      <c r="CA727" t="s">
        <v>1453</v>
      </c>
      <c r="CC727" t="s">
        <v>1449</v>
      </c>
      <c r="CD727" s="5" t="s">
        <v>1454</v>
      </c>
      <c r="CE727" t="s">
        <v>147</v>
      </c>
      <c r="CF727" s="3">
        <v>45939</v>
      </c>
      <c r="CI727">
        <v>2</v>
      </c>
      <c r="CJ727">
        <v>2</v>
      </c>
      <c r="CK727">
        <v>23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"080068370372"</f>
        <v>080068370372</v>
      </c>
      <c r="F728" s="3">
        <v>45937</v>
      </c>
      <c r="G728">
        <v>202607</v>
      </c>
      <c r="H728" t="s">
        <v>79</v>
      </c>
      <c r="I728" t="s">
        <v>80</v>
      </c>
      <c r="J728" t="s">
        <v>91</v>
      </c>
      <c r="K728" t="s">
        <v>78</v>
      </c>
      <c r="L728" t="s">
        <v>79</v>
      </c>
      <c r="M728" t="s">
        <v>80</v>
      </c>
      <c r="N728" t="s">
        <v>1455</v>
      </c>
      <c r="O728" t="s">
        <v>82</v>
      </c>
      <c r="P728" t="str">
        <f>"4170063344                    "</f>
        <v xml:space="preserve">4170063344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17.46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55.42</v>
      </c>
      <c r="BM728">
        <v>8.31</v>
      </c>
      <c r="BN728">
        <v>63.73</v>
      </c>
      <c r="BO728">
        <v>63.73</v>
      </c>
      <c r="BQ728" t="s">
        <v>1456</v>
      </c>
      <c r="BR728" t="s">
        <v>97</v>
      </c>
      <c r="BS728" s="3">
        <v>45938</v>
      </c>
      <c r="BT728" s="4">
        <v>0.38750000000000001</v>
      </c>
      <c r="BU728" t="s">
        <v>1457</v>
      </c>
      <c r="BV728" t="s">
        <v>86</v>
      </c>
      <c r="BY728">
        <v>1200</v>
      </c>
      <c r="CA728" t="s">
        <v>166</v>
      </c>
      <c r="CC728" t="s">
        <v>80</v>
      </c>
      <c r="CD728">
        <v>1619</v>
      </c>
      <c r="CE728" t="s">
        <v>147</v>
      </c>
      <c r="CF728" s="3">
        <v>45938</v>
      </c>
      <c r="CI728">
        <v>1</v>
      </c>
      <c r="CJ728">
        <v>1</v>
      </c>
      <c r="CK728">
        <v>22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"080068370375"</f>
        <v>080068370375</v>
      </c>
      <c r="F729" s="3">
        <v>45937</v>
      </c>
      <c r="G729">
        <v>202607</v>
      </c>
      <c r="H729" t="s">
        <v>79</v>
      </c>
      <c r="I729" t="s">
        <v>80</v>
      </c>
      <c r="J729" t="s">
        <v>91</v>
      </c>
      <c r="K729" t="s">
        <v>78</v>
      </c>
      <c r="L729" t="s">
        <v>121</v>
      </c>
      <c r="M729" t="s">
        <v>122</v>
      </c>
      <c r="N729" t="s">
        <v>154</v>
      </c>
      <c r="O729" t="s">
        <v>82</v>
      </c>
      <c r="P729" t="str">
        <f>"4170063200                    "</f>
        <v xml:space="preserve">4170063200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22.36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1.1000000000000001</v>
      </c>
      <c r="BK729">
        <v>1.5</v>
      </c>
      <c r="BL729">
        <v>70.959999999999994</v>
      </c>
      <c r="BM729">
        <v>10.64</v>
      </c>
      <c r="BN729">
        <v>81.599999999999994</v>
      </c>
      <c r="BO729">
        <v>81.599999999999994</v>
      </c>
      <c r="BQ729" t="s">
        <v>155</v>
      </c>
      <c r="BR729" t="s">
        <v>97</v>
      </c>
      <c r="BS729" s="3">
        <v>45938</v>
      </c>
      <c r="BT729" s="4">
        <v>0.78819444444444442</v>
      </c>
      <c r="BU729" t="s">
        <v>156</v>
      </c>
      <c r="BV729" t="s">
        <v>90</v>
      </c>
      <c r="BW729" t="s">
        <v>136</v>
      </c>
      <c r="BX729" t="s">
        <v>1222</v>
      </c>
      <c r="BY729">
        <v>5320</v>
      </c>
      <c r="CA729" t="s">
        <v>157</v>
      </c>
      <c r="CC729" t="s">
        <v>122</v>
      </c>
      <c r="CD729">
        <v>4052</v>
      </c>
      <c r="CE729" t="s">
        <v>191</v>
      </c>
      <c r="CF729" s="3">
        <v>45938</v>
      </c>
      <c r="CI729">
        <v>1</v>
      </c>
      <c r="CJ729">
        <v>1</v>
      </c>
      <c r="CK729">
        <v>21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"080068370381"</f>
        <v>080068370381</v>
      </c>
      <c r="F730" s="3">
        <v>45937</v>
      </c>
      <c r="G730">
        <v>202607</v>
      </c>
      <c r="H730" t="s">
        <v>79</v>
      </c>
      <c r="I730" t="s">
        <v>80</v>
      </c>
      <c r="J730" t="s">
        <v>91</v>
      </c>
      <c r="K730" t="s">
        <v>78</v>
      </c>
      <c r="L730" t="s">
        <v>223</v>
      </c>
      <c r="M730" t="s">
        <v>224</v>
      </c>
      <c r="N730" t="s">
        <v>652</v>
      </c>
      <c r="O730" t="s">
        <v>82</v>
      </c>
      <c r="P730" t="str">
        <f>"4170063198                    "</f>
        <v xml:space="preserve">4170063198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17.46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55.42</v>
      </c>
      <c r="BM730">
        <v>8.31</v>
      </c>
      <c r="BN730">
        <v>63.73</v>
      </c>
      <c r="BO730">
        <v>63.73</v>
      </c>
      <c r="BQ730" t="s">
        <v>653</v>
      </c>
      <c r="BR730" t="s">
        <v>97</v>
      </c>
      <c r="BS730" s="3">
        <v>45938</v>
      </c>
      <c r="BT730" s="4">
        <v>0.40277777777777779</v>
      </c>
      <c r="BU730" t="s">
        <v>1458</v>
      </c>
      <c r="BV730" t="s">
        <v>86</v>
      </c>
      <c r="BY730">
        <v>1200</v>
      </c>
      <c r="CA730" t="s">
        <v>1459</v>
      </c>
      <c r="CC730" t="s">
        <v>224</v>
      </c>
      <c r="CD730">
        <v>1460</v>
      </c>
      <c r="CE730" t="s">
        <v>147</v>
      </c>
      <c r="CF730" s="3">
        <v>45938</v>
      </c>
      <c r="CI730">
        <v>1</v>
      </c>
      <c r="CJ730">
        <v>1</v>
      </c>
      <c r="CK730">
        <v>22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"080068370453"</f>
        <v>080068370453</v>
      </c>
      <c r="F731" s="3">
        <v>45937</v>
      </c>
      <c r="G731">
        <v>202607</v>
      </c>
      <c r="H731" t="s">
        <v>79</v>
      </c>
      <c r="I731" t="s">
        <v>80</v>
      </c>
      <c r="J731" t="s">
        <v>91</v>
      </c>
      <c r="K731" t="s">
        <v>78</v>
      </c>
      <c r="L731" t="s">
        <v>322</v>
      </c>
      <c r="M731" t="s">
        <v>322</v>
      </c>
      <c r="N731" t="s">
        <v>481</v>
      </c>
      <c r="O731" t="s">
        <v>82</v>
      </c>
      <c r="P731" t="str">
        <f>"4170063284                    "</f>
        <v xml:space="preserve">4170063284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62.87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3</v>
      </c>
      <c r="BJ731">
        <v>1.7</v>
      </c>
      <c r="BK731">
        <v>3</v>
      </c>
      <c r="BL731">
        <v>199.55</v>
      </c>
      <c r="BM731">
        <v>29.93</v>
      </c>
      <c r="BN731">
        <v>229.48</v>
      </c>
      <c r="BO731">
        <v>229.48</v>
      </c>
      <c r="BQ731" t="s">
        <v>482</v>
      </c>
      <c r="BR731" t="s">
        <v>97</v>
      </c>
      <c r="BS731" s="3">
        <v>45938</v>
      </c>
      <c r="BT731" s="4">
        <v>0.53819444444444442</v>
      </c>
      <c r="BU731" t="s">
        <v>1402</v>
      </c>
      <c r="BV731" t="s">
        <v>86</v>
      </c>
      <c r="BY731">
        <v>8550</v>
      </c>
      <c r="CA731" t="s">
        <v>326</v>
      </c>
      <c r="CC731" t="s">
        <v>322</v>
      </c>
      <c r="CD731">
        <v>7646</v>
      </c>
      <c r="CE731" t="s">
        <v>191</v>
      </c>
      <c r="CF731" s="3">
        <v>45939</v>
      </c>
      <c r="CI731">
        <v>1</v>
      </c>
      <c r="CJ731">
        <v>1</v>
      </c>
      <c r="CK731">
        <v>23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"080068370477"</f>
        <v>080068370477</v>
      </c>
      <c r="F732" s="3">
        <v>45937</v>
      </c>
      <c r="G732">
        <v>202607</v>
      </c>
      <c r="H732" t="s">
        <v>79</v>
      </c>
      <c r="I732" t="s">
        <v>80</v>
      </c>
      <c r="J732" t="s">
        <v>91</v>
      </c>
      <c r="K732" t="s">
        <v>78</v>
      </c>
      <c r="L732" t="s">
        <v>148</v>
      </c>
      <c r="M732" t="s">
        <v>149</v>
      </c>
      <c r="N732" t="s">
        <v>1460</v>
      </c>
      <c r="O732" t="s">
        <v>82</v>
      </c>
      <c r="P732" t="str">
        <f>"4170063353                    "</f>
        <v xml:space="preserve">4170063353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17.46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55.42</v>
      </c>
      <c r="BM732">
        <v>8.31</v>
      </c>
      <c r="BN732">
        <v>63.73</v>
      </c>
      <c r="BO732">
        <v>63.73</v>
      </c>
      <c r="BQ732" t="s">
        <v>1461</v>
      </c>
      <c r="BR732" t="s">
        <v>97</v>
      </c>
      <c r="BS732" s="3">
        <v>45938</v>
      </c>
      <c r="BT732" s="4">
        <v>0.35555555555555557</v>
      </c>
      <c r="BU732" t="s">
        <v>1462</v>
      </c>
      <c r="BV732" t="s">
        <v>86</v>
      </c>
      <c r="BY732">
        <v>1200</v>
      </c>
      <c r="CA732" t="s">
        <v>1463</v>
      </c>
      <c r="CC732" t="s">
        <v>149</v>
      </c>
      <c r="CD732">
        <v>2091</v>
      </c>
      <c r="CE732" t="s">
        <v>147</v>
      </c>
      <c r="CF732" s="3">
        <v>45938</v>
      </c>
      <c r="CI732">
        <v>1</v>
      </c>
      <c r="CJ732">
        <v>1</v>
      </c>
      <c r="CK732">
        <v>22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"080068370649"</f>
        <v>080068370649</v>
      </c>
      <c r="F733" s="3">
        <v>45937</v>
      </c>
      <c r="G733">
        <v>202607</v>
      </c>
      <c r="H733" t="s">
        <v>79</v>
      </c>
      <c r="I733" t="s">
        <v>80</v>
      </c>
      <c r="J733" t="s">
        <v>91</v>
      </c>
      <c r="K733" t="s">
        <v>78</v>
      </c>
      <c r="L733" t="s">
        <v>223</v>
      </c>
      <c r="M733" t="s">
        <v>224</v>
      </c>
      <c r="N733" t="s">
        <v>1464</v>
      </c>
      <c r="O733" t="s">
        <v>226</v>
      </c>
      <c r="P733" t="str">
        <f>"4170063262                    "</f>
        <v xml:space="preserve">4170063262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19.43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8</v>
      </c>
      <c r="BJ733">
        <v>8.9</v>
      </c>
      <c r="BK733">
        <v>9</v>
      </c>
      <c r="BL733">
        <v>61.66</v>
      </c>
      <c r="BM733">
        <v>9.25</v>
      </c>
      <c r="BN733">
        <v>70.91</v>
      </c>
      <c r="BO733">
        <v>70.91</v>
      </c>
      <c r="BQ733" t="s">
        <v>1465</v>
      </c>
      <c r="BR733" t="s">
        <v>97</v>
      </c>
      <c r="BS733" s="3">
        <v>45938</v>
      </c>
      <c r="BT733" s="4">
        <v>0.41944444444444445</v>
      </c>
      <c r="BU733" t="s">
        <v>1136</v>
      </c>
      <c r="BV733" t="s">
        <v>86</v>
      </c>
      <c r="BY733">
        <v>44640</v>
      </c>
      <c r="CA733" t="s">
        <v>1110</v>
      </c>
      <c r="CC733" t="s">
        <v>224</v>
      </c>
      <c r="CD733">
        <v>1459</v>
      </c>
      <c r="CE733" t="s">
        <v>191</v>
      </c>
      <c r="CF733" s="3">
        <v>45938</v>
      </c>
      <c r="CI733">
        <v>1</v>
      </c>
      <c r="CJ733">
        <v>1</v>
      </c>
      <c r="CK733">
        <v>32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"080068370694"</f>
        <v>080068370694</v>
      </c>
      <c r="F734" s="3">
        <v>45937</v>
      </c>
      <c r="G734">
        <v>202607</v>
      </c>
      <c r="H734" t="s">
        <v>79</v>
      </c>
      <c r="I734" t="s">
        <v>80</v>
      </c>
      <c r="J734" t="s">
        <v>91</v>
      </c>
      <c r="K734" t="s">
        <v>78</v>
      </c>
      <c r="L734" t="s">
        <v>206</v>
      </c>
      <c r="M734" t="s">
        <v>207</v>
      </c>
      <c r="N734" t="s">
        <v>656</v>
      </c>
      <c r="O734" t="s">
        <v>82</v>
      </c>
      <c r="P734" t="str">
        <f>"4170063334                    "</f>
        <v xml:space="preserve">4170063334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44.69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4</v>
      </c>
      <c r="BJ734">
        <v>3.4</v>
      </c>
      <c r="BK734">
        <v>4</v>
      </c>
      <c r="BL734">
        <v>141.85</v>
      </c>
      <c r="BM734">
        <v>21.28</v>
      </c>
      <c r="BN734">
        <v>163.13</v>
      </c>
      <c r="BO734">
        <v>163.13</v>
      </c>
      <c r="BQ734" t="s">
        <v>657</v>
      </c>
      <c r="BR734" t="s">
        <v>97</v>
      </c>
      <c r="BS734" s="3">
        <v>45938</v>
      </c>
      <c r="BT734" s="4">
        <v>0.42222222222222222</v>
      </c>
      <c r="BU734" t="s">
        <v>1442</v>
      </c>
      <c r="BV734" t="s">
        <v>86</v>
      </c>
      <c r="BY734">
        <v>16965</v>
      </c>
      <c r="CA734" t="s">
        <v>770</v>
      </c>
      <c r="CC734" t="s">
        <v>207</v>
      </c>
      <c r="CD734">
        <v>7441</v>
      </c>
      <c r="CE734" t="s">
        <v>1466</v>
      </c>
      <c r="CF734" s="3">
        <v>45939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"080068370732"</f>
        <v>080068370732</v>
      </c>
      <c r="F735" s="3">
        <v>45937</v>
      </c>
      <c r="G735">
        <v>202607</v>
      </c>
      <c r="H735" t="s">
        <v>79</v>
      </c>
      <c r="I735" t="s">
        <v>80</v>
      </c>
      <c r="J735" t="s">
        <v>91</v>
      </c>
      <c r="K735" t="s">
        <v>78</v>
      </c>
      <c r="L735" t="s">
        <v>148</v>
      </c>
      <c r="M735" t="s">
        <v>149</v>
      </c>
      <c r="N735" t="s">
        <v>465</v>
      </c>
      <c r="O735" t="s">
        <v>82</v>
      </c>
      <c r="P735" t="str">
        <f>"4170063349                    "</f>
        <v xml:space="preserve">4170063349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17.46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1.7</v>
      </c>
      <c r="BK735">
        <v>2</v>
      </c>
      <c r="BL735">
        <v>55.42</v>
      </c>
      <c r="BM735">
        <v>8.31</v>
      </c>
      <c r="BN735">
        <v>63.73</v>
      </c>
      <c r="BO735">
        <v>63.73</v>
      </c>
      <c r="BQ735" t="s">
        <v>466</v>
      </c>
      <c r="BR735" t="s">
        <v>97</v>
      </c>
      <c r="BS735" s="3">
        <v>45938</v>
      </c>
      <c r="BT735" s="4">
        <v>0.42083333333333334</v>
      </c>
      <c r="BU735" t="s">
        <v>1467</v>
      </c>
      <c r="BV735" t="s">
        <v>86</v>
      </c>
      <c r="BY735">
        <v>8512</v>
      </c>
      <c r="CA735" t="s">
        <v>1408</v>
      </c>
      <c r="CC735" t="s">
        <v>149</v>
      </c>
      <c r="CD735">
        <v>2094</v>
      </c>
      <c r="CE735" t="s">
        <v>191</v>
      </c>
      <c r="CF735" s="3">
        <v>45938</v>
      </c>
      <c r="CI735">
        <v>1</v>
      </c>
      <c r="CJ735">
        <v>1</v>
      </c>
      <c r="CK735">
        <v>22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"080068370772"</f>
        <v>080068370772</v>
      </c>
      <c r="F736" s="3">
        <v>45937</v>
      </c>
      <c r="G736">
        <v>202607</v>
      </c>
      <c r="H736" t="s">
        <v>79</v>
      </c>
      <c r="I736" t="s">
        <v>80</v>
      </c>
      <c r="J736" t="s">
        <v>91</v>
      </c>
      <c r="K736" t="s">
        <v>78</v>
      </c>
      <c r="L736" t="s">
        <v>174</v>
      </c>
      <c r="M736" t="s">
        <v>175</v>
      </c>
      <c r="N736" t="s">
        <v>1468</v>
      </c>
      <c r="O736" t="s">
        <v>82</v>
      </c>
      <c r="P736" t="str">
        <f>"4170063356                    "</f>
        <v xml:space="preserve">4170063356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17.46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1.1000000000000001</v>
      </c>
      <c r="BK736">
        <v>2</v>
      </c>
      <c r="BL736">
        <v>55.42</v>
      </c>
      <c r="BM736">
        <v>8.31</v>
      </c>
      <c r="BN736">
        <v>63.73</v>
      </c>
      <c r="BO736">
        <v>63.73</v>
      </c>
      <c r="BQ736" t="s">
        <v>1469</v>
      </c>
      <c r="BR736" t="s">
        <v>97</v>
      </c>
      <c r="BS736" s="3">
        <v>45940</v>
      </c>
      <c r="BT736" s="4">
        <v>0.40277777777777779</v>
      </c>
      <c r="BU736" t="s">
        <v>1470</v>
      </c>
      <c r="BV736" t="s">
        <v>90</v>
      </c>
      <c r="BW736" t="s">
        <v>188</v>
      </c>
      <c r="BX736" t="s">
        <v>1471</v>
      </c>
      <c r="BY736">
        <v>5510</v>
      </c>
      <c r="CC736" t="s">
        <v>175</v>
      </c>
      <c r="CD736">
        <v>1554</v>
      </c>
      <c r="CE736" t="s">
        <v>191</v>
      </c>
      <c r="CF736" s="3">
        <v>45941</v>
      </c>
      <c r="CI736">
        <v>1</v>
      </c>
      <c r="CJ736">
        <v>3</v>
      </c>
      <c r="CK736">
        <v>22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"080068370801"</f>
        <v>080068370801</v>
      </c>
      <c r="F737" s="3">
        <v>45937</v>
      </c>
      <c r="G737">
        <v>202607</v>
      </c>
      <c r="H737" t="s">
        <v>79</v>
      </c>
      <c r="I737" t="s">
        <v>80</v>
      </c>
      <c r="J737" t="s">
        <v>91</v>
      </c>
      <c r="K737" t="s">
        <v>78</v>
      </c>
      <c r="L737" t="s">
        <v>322</v>
      </c>
      <c r="M737" t="s">
        <v>322</v>
      </c>
      <c r="N737" t="s">
        <v>376</v>
      </c>
      <c r="O737" t="s">
        <v>82</v>
      </c>
      <c r="P737" t="str">
        <f>"4170063292                    "</f>
        <v xml:space="preserve">4170063292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43.31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137.47</v>
      </c>
      <c r="BM737">
        <v>20.62</v>
      </c>
      <c r="BN737">
        <v>158.09</v>
      </c>
      <c r="BO737">
        <v>158.09</v>
      </c>
      <c r="BQ737" t="s">
        <v>377</v>
      </c>
      <c r="BR737" t="s">
        <v>97</v>
      </c>
      <c r="BS737" s="3">
        <v>45938</v>
      </c>
      <c r="BT737" s="4">
        <v>0.53819444444444442</v>
      </c>
      <c r="BU737" t="s">
        <v>1402</v>
      </c>
      <c r="BV737" t="s">
        <v>86</v>
      </c>
      <c r="BY737">
        <v>1200</v>
      </c>
      <c r="CA737" t="s">
        <v>326</v>
      </c>
      <c r="CC737" t="s">
        <v>322</v>
      </c>
      <c r="CD737">
        <v>7646</v>
      </c>
      <c r="CE737" t="s">
        <v>147</v>
      </c>
      <c r="CF737" s="3">
        <v>45939</v>
      </c>
      <c r="CI737">
        <v>1</v>
      </c>
      <c r="CJ737">
        <v>1</v>
      </c>
      <c r="CK737">
        <v>23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"080068370811"</f>
        <v>080068370811</v>
      </c>
      <c r="F738" s="3">
        <v>45937</v>
      </c>
      <c r="G738">
        <v>202607</v>
      </c>
      <c r="H738" t="s">
        <v>79</v>
      </c>
      <c r="I738" t="s">
        <v>80</v>
      </c>
      <c r="J738" t="s">
        <v>91</v>
      </c>
      <c r="K738" t="s">
        <v>78</v>
      </c>
      <c r="L738" t="s">
        <v>206</v>
      </c>
      <c r="M738" t="s">
        <v>207</v>
      </c>
      <c r="N738" t="s">
        <v>458</v>
      </c>
      <c r="O738" t="s">
        <v>82</v>
      </c>
      <c r="P738" t="str">
        <f>"4170063217                    "</f>
        <v xml:space="preserve">4170063217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22.36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70.959999999999994</v>
      </c>
      <c r="BM738">
        <v>10.64</v>
      </c>
      <c r="BN738">
        <v>81.599999999999994</v>
      </c>
      <c r="BO738">
        <v>81.599999999999994</v>
      </c>
      <c r="BQ738" t="s">
        <v>459</v>
      </c>
      <c r="BR738" t="s">
        <v>97</v>
      </c>
      <c r="BS738" s="3">
        <v>45938</v>
      </c>
      <c r="BT738" s="4">
        <v>0.45833333333333331</v>
      </c>
      <c r="BU738" t="s">
        <v>1396</v>
      </c>
      <c r="BV738" t="s">
        <v>90</v>
      </c>
      <c r="BW738" t="s">
        <v>347</v>
      </c>
      <c r="BX738" t="s">
        <v>1038</v>
      </c>
      <c r="BY738">
        <v>1200</v>
      </c>
      <c r="CA738" t="s">
        <v>461</v>
      </c>
      <c r="CC738" t="s">
        <v>207</v>
      </c>
      <c r="CD738">
        <v>7530</v>
      </c>
      <c r="CE738" t="s">
        <v>147</v>
      </c>
      <c r="CF738" s="3">
        <v>45939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"080068370820"</f>
        <v>080068370820</v>
      </c>
      <c r="F739" s="3">
        <v>45937</v>
      </c>
      <c r="G739">
        <v>202607</v>
      </c>
      <c r="H739" t="s">
        <v>79</v>
      </c>
      <c r="I739" t="s">
        <v>80</v>
      </c>
      <c r="J739" t="s">
        <v>91</v>
      </c>
      <c r="K739" t="s">
        <v>78</v>
      </c>
      <c r="L739" t="s">
        <v>322</v>
      </c>
      <c r="M739" t="s">
        <v>322</v>
      </c>
      <c r="N739" t="s">
        <v>376</v>
      </c>
      <c r="O739" t="s">
        <v>82</v>
      </c>
      <c r="P739" t="str">
        <f>"4170063258                    "</f>
        <v xml:space="preserve">4170063258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43.31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137.47</v>
      </c>
      <c r="BM739">
        <v>20.62</v>
      </c>
      <c r="BN739">
        <v>158.09</v>
      </c>
      <c r="BO739">
        <v>158.09</v>
      </c>
      <c r="BQ739" t="s">
        <v>377</v>
      </c>
      <c r="BR739" t="s">
        <v>97</v>
      </c>
      <c r="BS739" s="3">
        <v>45938</v>
      </c>
      <c r="BT739" s="4">
        <v>0.53819444444444442</v>
      </c>
      <c r="BU739" t="s">
        <v>1402</v>
      </c>
      <c r="BV739" t="s">
        <v>86</v>
      </c>
      <c r="BY739">
        <v>1200</v>
      </c>
      <c r="CA739" t="s">
        <v>326</v>
      </c>
      <c r="CC739" t="s">
        <v>322</v>
      </c>
      <c r="CD739">
        <v>7646</v>
      </c>
      <c r="CE739" t="s">
        <v>147</v>
      </c>
      <c r="CF739" s="3">
        <v>45939</v>
      </c>
      <c r="CI739">
        <v>1</v>
      </c>
      <c r="CJ739">
        <v>1</v>
      </c>
      <c r="CK739">
        <v>23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"080068370965"</f>
        <v>080068370965</v>
      </c>
      <c r="F740" s="3">
        <v>45937</v>
      </c>
      <c r="G740">
        <v>202607</v>
      </c>
      <c r="H740" t="s">
        <v>79</v>
      </c>
      <c r="I740" t="s">
        <v>80</v>
      </c>
      <c r="J740" t="s">
        <v>91</v>
      </c>
      <c r="K740" t="s">
        <v>78</v>
      </c>
      <c r="L740" t="s">
        <v>206</v>
      </c>
      <c r="M740" t="s">
        <v>207</v>
      </c>
      <c r="N740" t="s">
        <v>1062</v>
      </c>
      <c r="O740" t="s">
        <v>82</v>
      </c>
      <c r="P740" t="str">
        <f>"4170063254                    "</f>
        <v xml:space="preserve">4170063254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22.36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70.959999999999994</v>
      </c>
      <c r="BM740">
        <v>10.64</v>
      </c>
      <c r="BN740">
        <v>81.599999999999994</v>
      </c>
      <c r="BO740">
        <v>81.599999999999994</v>
      </c>
      <c r="BQ740" t="s">
        <v>1063</v>
      </c>
      <c r="BR740" t="s">
        <v>97</v>
      </c>
      <c r="BS740" s="3">
        <v>45938</v>
      </c>
      <c r="BT740" s="4">
        <v>0.42222222222222222</v>
      </c>
      <c r="BU740" t="s">
        <v>1202</v>
      </c>
      <c r="BV740" t="s">
        <v>86</v>
      </c>
      <c r="BY740">
        <v>1200</v>
      </c>
      <c r="CA740" t="s">
        <v>211</v>
      </c>
      <c r="CC740" t="s">
        <v>207</v>
      </c>
      <c r="CD740">
        <v>8001</v>
      </c>
      <c r="CE740" t="s">
        <v>147</v>
      </c>
      <c r="CF740" s="3">
        <v>45939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"080068370978"</f>
        <v>080068370978</v>
      </c>
      <c r="F741" s="3">
        <v>45937</v>
      </c>
      <c r="G741">
        <v>202607</v>
      </c>
      <c r="H741" t="s">
        <v>79</v>
      </c>
      <c r="I741" t="s">
        <v>80</v>
      </c>
      <c r="J741" t="s">
        <v>91</v>
      </c>
      <c r="K741" t="s">
        <v>78</v>
      </c>
      <c r="L741" t="s">
        <v>114</v>
      </c>
      <c r="M741" t="s">
        <v>115</v>
      </c>
      <c r="N741" t="s">
        <v>746</v>
      </c>
      <c r="O741" t="s">
        <v>82</v>
      </c>
      <c r="P741" t="str">
        <f>"4170063212                    "</f>
        <v xml:space="preserve">4170063212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22.36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70.959999999999994</v>
      </c>
      <c r="BM741">
        <v>10.64</v>
      </c>
      <c r="BN741">
        <v>81.599999999999994</v>
      </c>
      <c r="BO741">
        <v>81.599999999999994</v>
      </c>
      <c r="BQ741" t="s">
        <v>747</v>
      </c>
      <c r="BR741" t="s">
        <v>97</v>
      </c>
      <c r="BS741" s="3">
        <v>45938</v>
      </c>
      <c r="BT741" s="4">
        <v>0.55347222222222225</v>
      </c>
      <c r="BU741" t="s">
        <v>748</v>
      </c>
      <c r="BV741" t="s">
        <v>90</v>
      </c>
      <c r="BY741">
        <v>1200</v>
      </c>
      <c r="CA741" t="s">
        <v>749</v>
      </c>
      <c r="CC741" t="s">
        <v>115</v>
      </c>
      <c r="CD741">
        <v>5200</v>
      </c>
      <c r="CE741" t="s">
        <v>147</v>
      </c>
      <c r="CF741" s="3">
        <v>45939</v>
      </c>
      <c r="CI741">
        <v>1</v>
      </c>
      <c r="CJ741">
        <v>1</v>
      </c>
      <c r="CK741">
        <v>21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"080068370996"</f>
        <v>080068370996</v>
      </c>
      <c r="F742" s="3">
        <v>45937</v>
      </c>
      <c r="G742">
        <v>202607</v>
      </c>
      <c r="H742" t="s">
        <v>79</v>
      </c>
      <c r="I742" t="s">
        <v>80</v>
      </c>
      <c r="J742" t="s">
        <v>91</v>
      </c>
      <c r="K742" t="s">
        <v>78</v>
      </c>
      <c r="L742" t="s">
        <v>206</v>
      </c>
      <c r="M742" t="s">
        <v>207</v>
      </c>
      <c r="N742" t="s">
        <v>477</v>
      </c>
      <c r="O742" t="s">
        <v>82</v>
      </c>
      <c r="P742" t="str">
        <f>"4170063241                    "</f>
        <v xml:space="preserve">4170063241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22.36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70.959999999999994</v>
      </c>
      <c r="BM742">
        <v>10.64</v>
      </c>
      <c r="BN742">
        <v>81.599999999999994</v>
      </c>
      <c r="BO742">
        <v>81.599999999999994</v>
      </c>
      <c r="BQ742" t="s">
        <v>478</v>
      </c>
      <c r="BR742" t="s">
        <v>97</v>
      </c>
      <c r="BS742" s="3">
        <v>45938</v>
      </c>
      <c r="BT742" s="4">
        <v>0.40763888888888888</v>
      </c>
      <c r="BU742" t="s">
        <v>1472</v>
      </c>
      <c r="BV742" t="s">
        <v>86</v>
      </c>
      <c r="BY742">
        <v>1200</v>
      </c>
      <c r="CA742" t="s">
        <v>480</v>
      </c>
      <c r="CC742" t="s">
        <v>207</v>
      </c>
      <c r="CD742">
        <v>7480</v>
      </c>
      <c r="CE742" t="s">
        <v>147</v>
      </c>
      <c r="CF742" s="3">
        <v>45939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"080068371016"</f>
        <v>080068371016</v>
      </c>
      <c r="F743" s="3">
        <v>45937</v>
      </c>
      <c r="G743">
        <v>202607</v>
      </c>
      <c r="H743" t="s">
        <v>79</v>
      </c>
      <c r="I743" t="s">
        <v>80</v>
      </c>
      <c r="J743" t="s">
        <v>91</v>
      </c>
      <c r="K743" t="s">
        <v>78</v>
      </c>
      <c r="L743" t="s">
        <v>530</v>
      </c>
      <c r="M743" t="s">
        <v>531</v>
      </c>
      <c r="N743" t="s">
        <v>532</v>
      </c>
      <c r="O743" t="s">
        <v>82</v>
      </c>
      <c r="P743" t="str">
        <f>"4170063351                    "</f>
        <v xml:space="preserve">4170063351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43.31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137.47</v>
      </c>
      <c r="BM743">
        <v>20.62</v>
      </c>
      <c r="BN743">
        <v>158.09</v>
      </c>
      <c r="BO743">
        <v>158.09</v>
      </c>
      <c r="BQ743" t="s">
        <v>533</v>
      </c>
      <c r="BR743" t="s">
        <v>97</v>
      </c>
      <c r="BS743" s="3">
        <v>45938</v>
      </c>
      <c r="BT743" s="4">
        <v>0.51736111111111116</v>
      </c>
      <c r="BU743" t="s">
        <v>1473</v>
      </c>
      <c r="BV743" t="s">
        <v>86</v>
      </c>
      <c r="BY743">
        <v>1200</v>
      </c>
      <c r="CA743" t="s">
        <v>535</v>
      </c>
      <c r="CC743" t="s">
        <v>531</v>
      </c>
      <c r="CD743">
        <v>6850</v>
      </c>
      <c r="CE743" t="s">
        <v>147</v>
      </c>
      <c r="CF743" s="3">
        <v>45939</v>
      </c>
      <c r="CI743">
        <v>2</v>
      </c>
      <c r="CJ743">
        <v>1</v>
      </c>
      <c r="CK743">
        <v>23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"080068371019"</f>
        <v>080068371019</v>
      </c>
      <c r="F744" s="3">
        <v>45937</v>
      </c>
      <c r="G744">
        <v>202607</v>
      </c>
      <c r="H744" t="s">
        <v>79</v>
      </c>
      <c r="I744" t="s">
        <v>80</v>
      </c>
      <c r="J744" t="s">
        <v>91</v>
      </c>
      <c r="K744" t="s">
        <v>78</v>
      </c>
      <c r="L744" t="s">
        <v>121</v>
      </c>
      <c r="M744" t="s">
        <v>122</v>
      </c>
      <c r="N744" t="s">
        <v>1474</v>
      </c>
      <c r="O744" t="s">
        <v>95</v>
      </c>
      <c r="P744" t="str">
        <f>"4170063216                    "</f>
        <v xml:space="preserve">4170063216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107.48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3</v>
      </c>
      <c r="BI744">
        <v>51</v>
      </c>
      <c r="BJ744">
        <v>35.299999999999997</v>
      </c>
      <c r="BK744">
        <v>51</v>
      </c>
      <c r="BL744">
        <v>347.01</v>
      </c>
      <c r="BM744">
        <v>52.05</v>
      </c>
      <c r="BN744">
        <v>399.06</v>
      </c>
      <c r="BO744">
        <v>399.06</v>
      </c>
      <c r="BQ744" t="s">
        <v>1475</v>
      </c>
      <c r="BR744" t="s">
        <v>97</v>
      </c>
      <c r="BS744" s="3">
        <v>45938</v>
      </c>
      <c r="BT744" s="4">
        <v>0.64027777777777772</v>
      </c>
      <c r="BU744" t="s">
        <v>1476</v>
      </c>
      <c r="BV744" t="s">
        <v>86</v>
      </c>
      <c r="BY744">
        <v>121680</v>
      </c>
      <c r="CA744" t="s">
        <v>1477</v>
      </c>
      <c r="CC744" t="s">
        <v>122</v>
      </c>
      <c r="CD744">
        <v>4052</v>
      </c>
      <c r="CE744" t="s">
        <v>191</v>
      </c>
      <c r="CF744" s="3">
        <v>45939</v>
      </c>
      <c r="CI744">
        <v>1</v>
      </c>
      <c r="CJ744">
        <v>1</v>
      </c>
      <c r="CK744">
        <v>41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"080068371037"</f>
        <v>080068371037</v>
      </c>
      <c r="F745" s="3">
        <v>45937</v>
      </c>
      <c r="G745">
        <v>202607</v>
      </c>
      <c r="H745" t="s">
        <v>79</v>
      </c>
      <c r="I745" t="s">
        <v>80</v>
      </c>
      <c r="J745" t="s">
        <v>91</v>
      </c>
      <c r="K745" t="s">
        <v>78</v>
      </c>
      <c r="L745" t="s">
        <v>401</v>
      </c>
      <c r="M745" t="s">
        <v>402</v>
      </c>
      <c r="N745" t="s">
        <v>403</v>
      </c>
      <c r="O745" t="s">
        <v>82</v>
      </c>
      <c r="P745" t="str">
        <f>"4170063261                    "</f>
        <v xml:space="preserve">4170063261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43.31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137.47</v>
      </c>
      <c r="BM745">
        <v>20.62</v>
      </c>
      <c r="BN745">
        <v>158.09</v>
      </c>
      <c r="BO745">
        <v>158.09</v>
      </c>
      <c r="BQ745" t="s">
        <v>404</v>
      </c>
      <c r="BR745" t="s">
        <v>97</v>
      </c>
      <c r="BS745" s="3">
        <v>45938</v>
      </c>
      <c r="BT745" s="4">
        <v>0.54722222222222228</v>
      </c>
      <c r="BU745" t="s">
        <v>405</v>
      </c>
      <c r="BV745" t="s">
        <v>90</v>
      </c>
      <c r="BY745">
        <v>1200</v>
      </c>
      <c r="CC745" t="s">
        <v>402</v>
      </c>
      <c r="CD745">
        <v>3310</v>
      </c>
      <c r="CE745" t="s">
        <v>147</v>
      </c>
      <c r="CF745" s="3">
        <v>45939</v>
      </c>
      <c r="CI745">
        <v>1</v>
      </c>
      <c r="CJ745">
        <v>1</v>
      </c>
      <c r="CK745">
        <v>23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"080068371054"</f>
        <v>080068371054</v>
      </c>
      <c r="F746" s="3">
        <v>45937</v>
      </c>
      <c r="G746">
        <v>202607</v>
      </c>
      <c r="H746" t="s">
        <v>79</v>
      </c>
      <c r="I746" t="s">
        <v>80</v>
      </c>
      <c r="J746" t="s">
        <v>91</v>
      </c>
      <c r="K746" t="s">
        <v>78</v>
      </c>
      <c r="L746" t="s">
        <v>946</v>
      </c>
      <c r="M746" t="s">
        <v>947</v>
      </c>
      <c r="N746" t="s">
        <v>948</v>
      </c>
      <c r="O746" t="s">
        <v>82</v>
      </c>
      <c r="P746" t="str">
        <f>"4170063214                    "</f>
        <v xml:space="preserve">4170063214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43.31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137.47</v>
      </c>
      <c r="BM746">
        <v>20.62</v>
      </c>
      <c r="BN746">
        <v>158.09</v>
      </c>
      <c r="BO746">
        <v>158.09</v>
      </c>
      <c r="BQ746" t="s">
        <v>949</v>
      </c>
      <c r="BR746" t="s">
        <v>97</v>
      </c>
      <c r="BS746" s="3">
        <v>45938</v>
      </c>
      <c r="BT746" s="4">
        <v>0.55763888888888891</v>
      </c>
      <c r="BU746" t="s">
        <v>1444</v>
      </c>
      <c r="BV746" t="s">
        <v>86</v>
      </c>
      <c r="BY746">
        <v>1200</v>
      </c>
      <c r="CA746" t="s">
        <v>951</v>
      </c>
      <c r="CC746" t="s">
        <v>947</v>
      </c>
      <c r="CD746">
        <v>6500</v>
      </c>
      <c r="CE746" t="s">
        <v>147</v>
      </c>
      <c r="CF746" s="3">
        <v>45938</v>
      </c>
      <c r="CI746">
        <v>1</v>
      </c>
      <c r="CJ746">
        <v>1</v>
      </c>
      <c r="CK746">
        <v>23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"080068371076"</f>
        <v>080068371076</v>
      </c>
      <c r="F747" s="3">
        <v>45937</v>
      </c>
      <c r="G747">
        <v>202607</v>
      </c>
      <c r="H747" t="s">
        <v>79</v>
      </c>
      <c r="I747" t="s">
        <v>80</v>
      </c>
      <c r="J747" t="s">
        <v>91</v>
      </c>
      <c r="K747" t="s">
        <v>78</v>
      </c>
      <c r="L747" t="s">
        <v>206</v>
      </c>
      <c r="M747" t="s">
        <v>207</v>
      </c>
      <c r="N747" t="s">
        <v>458</v>
      </c>
      <c r="O747" t="s">
        <v>82</v>
      </c>
      <c r="P747" t="str">
        <f>"4170063185                    "</f>
        <v xml:space="preserve">4170063185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22.36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70.959999999999994</v>
      </c>
      <c r="BM747">
        <v>10.64</v>
      </c>
      <c r="BN747">
        <v>81.599999999999994</v>
      </c>
      <c r="BO747">
        <v>81.599999999999994</v>
      </c>
      <c r="BQ747" t="s">
        <v>459</v>
      </c>
      <c r="BR747" t="s">
        <v>97</v>
      </c>
      <c r="BS747" s="3">
        <v>45938</v>
      </c>
      <c r="BT747" s="4">
        <v>0.45833333333333331</v>
      </c>
      <c r="BU747" t="s">
        <v>1396</v>
      </c>
      <c r="BV747" t="s">
        <v>90</v>
      </c>
      <c r="BW747" t="s">
        <v>347</v>
      </c>
      <c r="BX747" t="s">
        <v>1038</v>
      </c>
      <c r="BY747">
        <v>1200</v>
      </c>
      <c r="CA747" t="s">
        <v>461</v>
      </c>
      <c r="CC747" t="s">
        <v>207</v>
      </c>
      <c r="CD747">
        <v>7535</v>
      </c>
      <c r="CE747" t="s">
        <v>147</v>
      </c>
      <c r="CF747" s="3">
        <v>45939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"080068371077"</f>
        <v>080068371077</v>
      </c>
      <c r="F748" s="3">
        <v>45937</v>
      </c>
      <c r="G748">
        <v>202607</v>
      </c>
      <c r="H748" t="s">
        <v>79</v>
      </c>
      <c r="I748" t="s">
        <v>80</v>
      </c>
      <c r="J748" t="s">
        <v>91</v>
      </c>
      <c r="K748" t="s">
        <v>78</v>
      </c>
      <c r="L748" t="s">
        <v>206</v>
      </c>
      <c r="M748" t="s">
        <v>207</v>
      </c>
      <c r="N748" t="s">
        <v>1478</v>
      </c>
      <c r="O748" t="s">
        <v>82</v>
      </c>
      <c r="P748" t="str">
        <f>"4170063370                    "</f>
        <v xml:space="preserve">4170063370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145.21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16.739999999999998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8</v>
      </c>
      <c r="BJ748">
        <v>12.8</v>
      </c>
      <c r="BK748">
        <v>13</v>
      </c>
      <c r="BL748">
        <v>477.63</v>
      </c>
      <c r="BM748">
        <v>71.64</v>
      </c>
      <c r="BN748">
        <v>549.27</v>
      </c>
      <c r="BO748">
        <v>549.27</v>
      </c>
      <c r="BQ748" t="s">
        <v>1479</v>
      </c>
      <c r="BR748" t="s">
        <v>97</v>
      </c>
      <c r="BS748" s="3">
        <v>45938</v>
      </c>
      <c r="BT748" s="4">
        <v>0.43125000000000002</v>
      </c>
      <c r="BU748" t="s">
        <v>1480</v>
      </c>
      <c r="BV748" t="s">
        <v>86</v>
      </c>
      <c r="BY748">
        <v>64000</v>
      </c>
      <c r="BZ748" t="s">
        <v>30</v>
      </c>
      <c r="CA748" t="s">
        <v>1481</v>
      </c>
      <c r="CC748" t="s">
        <v>207</v>
      </c>
      <c r="CD748">
        <v>7781</v>
      </c>
      <c r="CE748" t="s">
        <v>107</v>
      </c>
      <c r="CF748" s="3">
        <v>45939</v>
      </c>
      <c r="CI748">
        <v>1</v>
      </c>
      <c r="CJ748">
        <v>1</v>
      </c>
      <c r="CK748">
        <v>21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"080068371097"</f>
        <v>080068371097</v>
      </c>
      <c r="F749" s="3">
        <v>45937</v>
      </c>
      <c r="G749">
        <v>202607</v>
      </c>
      <c r="H749" t="s">
        <v>79</v>
      </c>
      <c r="I749" t="s">
        <v>80</v>
      </c>
      <c r="J749" t="s">
        <v>91</v>
      </c>
      <c r="K749" t="s">
        <v>78</v>
      </c>
      <c r="L749" t="s">
        <v>206</v>
      </c>
      <c r="M749" t="s">
        <v>207</v>
      </c>
      <c r="N749" t="s">
        <v>458</v>
      </c>
      <c r="O749" t="s">
        <v>82</v>
      </c>
      <c r="P749" t="str">
        <f>"4170063220                    "</f>
        <v xml:space="preserve">4170063220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22.36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70.959999999999994</v>
      </c>
      <c r="BM749">
        <v>10.64</v>
      </c>
      <c r="BN749">
        <v>81.599999999999994</v>
      </c>
      <c r="BO749">
        <v>81.599999999999994</v>
      </c>
      <c r="BQ749" t="s">
        <v>459</v>
      </c>
      <c r="BR749" t="s">
        <v>97</v>
      </c>
      <c r="BS749" s="3">
        <v>45938</v>
      </c>
      <c r="BT749" s="4">
        <v>0.45833333333333331</v>
      </c>
      <c r="BU749" t="s">
        <v>1396</v>
      </c>
      <c r="BV749" t="s">
        <v>90</v>
      </c>
      <c r="BW749" t="s">
        <v>347</v>
      </c>
      <c r="BX749" t="s">
        <v>1038</v>
      </c>
      <c r="BY749">
        <v>1200</v>
      </c>
      <c r="CA749" t="s">
        <v>461</v>
      </c>
      <c r="CC749" t="s">
        <v>207</v>
      </c>
      <c r="CD749">
        <v>7530</v>
      </c>
      <c r="CE749" t="s">
        <v>147</v>
      </c>
      <c r="CF749" s="3">
        <v>45939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"080068371123"</f>
        <v>080068371123</v>
      </c>
      <c r="F750" s="3">
        <v>45937</v>
      </c>
      <c r="G750">
        <v>202607</v>
      </c>
      <c r="H750" t="s">
        <v>79</v>
      </c>
      <c r="I750" t="s">
        <v>80</v>
      </c>
      <c r="J750" t="s">
        <v>91</v>
      </c>
      <c r="K750" t="s">
        <v>78</v>
      </c>
      <c r="L750" t="s">
        <v>206</v>
      </c>
      <c r="M750" t="s">
        <v>207</v>
      </c>
      <c r="N750" t="s">
        <v>458</v>
      </c>
      <c r="O750" t="s">
        <v>82</v>
      </c>
      <c r="P750" t="str">
        <f>"4170063221                    "</f>
        <v xml:space="preserve">4170063221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22.36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70.959999999999994</v>
      </c>
      <c r="BM750">
        <v>10.64</v>
      </c>
      <c r="BN750">
        <v>81.599999999999994</v>
      </c>
      <c r="BO750">
        <v>81.599999999999994</v>
      </c>
      <c r="BQ750" t="s">
        <v>459</v>
      </c>
      <c r="BR750" t="s">
        <v>97</v>
      </c>
      <c r="BS750" s="3">
        <v>45938</v>
      </c>
      <c r="BT750" s="4">
        <v>0.45833333333333331</v>
      </c>
      <c r="BU750" t="s">
        <v>1396</v>
      </c>
      <c r="BV750" t="s">
        <v>90</v>
      </c>
      <c r="BW750" t="s">
        <v>347</v>
      </c>
      <c r="BX750" t="s">
        <v>1038</v>
      </c>
      <c r="BY750">
        <v>1200</v>
      </c>
      <c r="CA750" t="s">
        <v>461</v>
      </c>
      <c r="CC750" t="s">
        <v>207</v>
      </c>
      <c r="CD750">
        <v>7530</v>
      </c>
      <c r="CE750" t="s">
        <v>147</v>
      </c>
      <c r="CF750" s="3">
        <v>45939</v>
      </c>
      <c r="CI750">
        <v>1</v>
      </c>
      <c r="CJ750">
        <v>1</v>
      </c>
      <c r="CK750">
        <v>21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"080068371133"</f>
        <v>080068371133</v>
      </c>
      <c r="F751" s="3">
        <v>45937</v>
      </c>
      <c r="G751">
        <v>202607</v>
      </c>
      <c r="H751" t="s">
        <v>79</v>
      </c>
      <c r="I751" t="s">
        <v>80</v>
      </c>
      <c r="J751" t="s">
        <v>91</v>
      </c>
      <c r="K751" t="s">
        <v>78</v>
      </c>
      <c r="L751" t="s">
        <v>79</v>
      </c>
      <c r="M751" t="s">
        <v>80</v>
      </c>
      <c r="N751" t="s">
        <v>1482</v>
      </c>
      <c r="O751" t="s">
        <v>226</v>
      </c>
      <c r="P751" t="str">
        <f>"4170063294                    "</f>
        <v xml:space="preserve">4170063294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19.43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9</v>
      </c>
      <c r="BJ751">
        <v>8.9</v>
      </c>
      <c r="BK751">
        <v>9</v>
      </c>
      <c r="BL751">
        <v>61.66</v>
      </c>
      <c r="BM751">
        <v>9.25</v>
      </c>
      <c r="BN751">
        <v>70.91</v>
      </c>
      <c r="BO751">
        <v>70.91</v>
      </c>
      <c r="BQ751" t="s">
        <v>1483</v>
      </c>
      <c r="BR751" t="s">
        <v>97</v>
      </c>
      <c r="BS751" s="3">
        <v>45938</v>
      </c>
      <c r="BT751" s="4">
        <v>0.41666666666666669</v>
      </c>
      <c r="BU751" t="s">
        <v>1484</v>
      </c>
      <c r="BV751" t="s">
        <v>86</v>
      </c>
      <c r="BY751">
        <v>44640</v>
      </c>
      <c r="CC751" t="s">
        <v>80</v>
      </c>
      <c r="CD751">
        <v>1609</v>
      </c>
      <c r="CE751" t="s">
        <v>191</v>
      </c>
      <c r="CF751" s="3">
        <v>45939</v>
      </c>
      <c r="CI751">
        <v>1</v>
      </c>
      <c r="CJ751">
        <v>1</v>
      </c>
      <c r="CK751">
        <v>32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"080068371155"</f>
        <v>080068371155</v>
      </c>
      <c r="F752" s="3">
        <v>45937</v>
      </c>
      <c r="G752">
        <v>202607</v>
      </c>
      <c r="H752" t="s">
        <v>79</v>
      </c>
      <c r="I752" t="s">
        <v>80</v>
      </c>
      <c r="J752" t="s">
        <v>91</v>
      </c>
      <c r="K752" t="s">
        <v>78</v>
      </c>
      <c r="L752" t="s">
        <v>206</v>
      </c>
      <c r="M752" t="s">
        <v>207</v>
      </c>
      <c r="N752" t="s">
        <v>458</v>
      </c>
      <c r="O752" t="s">
        <v>82</v>
      </c>
      <c r="P752" t="str">
        <f>"4170063218                    "</f>
        <v xml:space="preserve">4170063218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22.36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70.959999999999994</v>
      </c>
      <c r="BM752">
        <v>10.64</v>
      </c>
      <c r="BN752">
        <v>81.599999999999994</v>
      </c>
      <c r="BO752">
        <v>81.599999999999994</v>
      </c>
      <c r="BQ752" t="s">
        <v>459</v>
      </c>
      <c r="BR752" t="s">
        <v>97</v>
      </c>
      <c r="BS752" s="3">
        <v>45938</v>
      </c>
      <c r="BT752" s="4">
        <v>0.45833333333333331</v>
      </c>
      <c r="BU752" t="s">
        <v>1396</v>
      </c>
      <c r="BV752" t="s">
        <v>90</v>
      </c>
      <c r="BW752" t="s">
        <v>347</v>
      </c>
      <c r="BX752" t="s">
        <v>1038</v>
      </c>
      <c r="BY752">
        <v>1200</v>
      </c>
      <c r="CA752" t="s">
        <v>461</v>
      </c>
      <c r="CC752" t="s">
        <v>207</v>
      </c>
      <c r="CD752">
        <v>7530</v>
      </c>
      <c r="CE752" t="s">
        <v>147</v>
      </c>
      <c r="CF752" s="3">
        <v>45939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"080068371183"</f>
        <v>080068371183</v>
      </c>
      <c r="F753" s="3">
        <v>45937</v>
      </c>
      <c r="G753">
        <v>202607</v>
      </c>
      <c r="H753" t="s">
        <v>79</v>
      </c>
      <c r="I753" t="s">
        <v>80</v>
      </c>
      <c r="J753" t="s">
        <v>91</v>
      </c>
      <c r="K753" t="s">
        <v>78</v>
      </c>
      <c r="L753" t="s">
        <v>206</v>
      </c>
      <c r="M753" t="s">
        <v>207</v>
      </c>
      <c r="N753" t="s">
        <v>656</v>
      </c>
      <c r="O753" t="s">
        <v>82</v>
      </c>
      <c r="P753" t="str">
        <f>"4170063197                    "</f>
        <v xml:space="preserve">4170063197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33.520000000000003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3</v>
      </c>
      <c r="BJ753">
        <v>2.6</v>
      </c>
      <c r="BK753">
        <v>3</v>
      </c>
      <c r="BL753">
        <v>106.4</v>
      </c>
      <c r="BM753">
        <v>15.96</v>
      </c>
      <c r="BN753">
        <v>122.36</v>
      </c>
      <c r="BO753">
        <v>122.36</v>
      </c>
      <c r="BQ753" t="s">
        <v>657</v>
      </c>
      <c r="BR753" t="s">
        <v>97</v>
      </c>
      <c r="BS753" s="3">
        <v>45938</v>
      </c>
      <c r="BT753" s="4">
        <v>0.42222222222222222</v>
      </c>
      <c r="BU753" t="s">
        <v>1442</v>
      </c>
      <c r="BV753" t="s">
        <v>86</v>
      </c>
      <c r="BY753">
        <v>12852</v>
      </c>
      <c r="CA753" t="s">
        <v>770</v>
      </c>
      <c r="CC753" t="s">
        <v>207</v>
      </c>
      <c r="CD753">
        <v>7441</v>
      </c>
      <c r="CE753" t="s">
        <v>107</v>
      </c>
      <c r="CF753" s="3">
        <v>45939</v>
      </c>
      <c r="CI753">
        <v>1</v>
      </c>
      <c r="CJ753">
        <v>1</v>
      </c>
      <c r="CK753">
        <v>21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"080068371224"</f>
        <v>080068371224</v>
      </c>
      <c r="F754" s="3">
        <v>45937</v>
      </c>
      <c r="G754">
        <v>202607</v>
      </c>
      <c r="H754" t="s">
        <v>79</v>
      </c>
      <c r="I754" t="s">
        <v>80</v>
      </c>
      <c r="J754" t="s">
        <v>91</v>
      </c>
      <c r="K754" t="s">
        <v>78</v>
      </c>
      <c r="L754" t="s">
        <v>271</v>
      </c>
      <c r="M754" t="s">
        <v>272</v>
      </c>
      <c r="N754" t="s">
        <v>1485</v>
      </c>
      <c r="O754" t="s">
        <v>82</v>
      </c>
      <c r="P754" t="str">
        <f>"4170063201                    "</f>
        <v xml:space="preserve">4170063201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17.46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0.7</v>
      </c>
      <c r="BK754">
        <v>1</v>
      </c>
      <c r="BL754">
        <v>55.42</v>
      </c>
      <c r="BM754">
        <v>8.31</v>
      </c>
      <c r="BN754">
        <v>63.73</v>
      </c>
      <c r="BO754">
        <v>63.73</v>
      </c>
      <c r="BQ754" t="s">
        <v>1486</v>
      </c>
      <c r="BR754" t="s">
        <v>97</v>
      </c>
      <c r="BS754" s="3">
        <v>45938</v>
      </c>
      <c r="BT754" s="4">
        <v>0.37569444444444444</v>
      </c>
      <c r="BU754" t="s">
        <v>1487</v>
      </c>
      <c r="BV754" t="s">
        <v>86</v>
      </c>
      <c r="BY754">
        <v>3306</v>
      </c>
      <c r="CA754" t="s">
        <v>681</v>
      </c>
      <c r="CC754" t="s">
        <v>272</v>
      </c>
      <c r="CD754">
        <v>1401</v>
      </c>
      <c r="CE754" t="s">
        <v>191</v>
      </c>
      <c r="CF754" s="3">
        <v>45938</v>
      </c>
      <c r="CI754">
        <v>1</v>
      </c>
      <c r="CJ754">
        <v>1</v>
      </c>
      <c r="CK754">
        <v>22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"080068371277"</f>
        <v>080068371277</v>
      </c>
      <c r="F755" s="3">
        <v>45937</v>
      </c>
      <c r="G755">
        <v>202607</v>
      </c>
      <c r="H755" t="s">
        <v>79</v>
      </c>
      <c r="I755" t="s">
        <v>80</v>
      </c>
      <c r="J755" t="s">
        <v>91</v>
      </c>
      <c r="K755" t="s">
        <v>78</v>
      </c>
      <c r="L755" t="s">
        <v>168</v>
      </c>
      <c r="M755" t="s">
        <v>169</v>
      </c>
      <c r="N755" t="s">
        <v>185</v>
      </c>
      <c r="O755" t="s">
        <v>95</v>
      </c>
      <c r="P755" t="str">
        <f>"4170063317                    "</f>
        <v xml:space="preserve">4170063317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43.23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4</v>
      </c>
      <c r="BJ755">
        <v>1.4</v>
      </c>
      <c r="BK755">
        <v>4</v>
      </c>
      <c r="BL755">
        <v>143.08000000000001</v>
      </c>
      <c r="BM755">
        <v>21.46</v>
      </c>
      <c r="BN755">
        <v>164.54</v>
      </c>
      <c r="BO755">
        <v>164.54</v>
      </c>
      <c r="BQ755" t="s">
        <v>186</v>
      </c>
      <c r="BR755" t="s">
        <v>97</v>
      </c>
      <c r="BS755" s="3">
        <v>45938</v>
      </c>
      <c r="BT755" s="4">
        <v>0.51249999999999996</v>
      </c>
      <c r="BU755" t="s">
        <v>187</v>
      </c>
      <c r="BV755" t="s">
        <v>86</v>
      </c>
      <c r="BY755">
        <v>6936</v>
      </c>
      <c r="CC755" t="s">
        <v>169</v>
      </c>
      <c r="CD755" s="5" t="s">
        <v>190</v>
      </c>
      <c r="CE755" t="s">
        <v>107</v>
      </c>
      <c r="CF755" s="3">
        <v>45938</v>
      </c>
      <c r="CI755">
        <v>1</v>
      </c>
      <c r="CJ755">
        <v>1</v>
      </c>
      <c r="CK755">
        <v>41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"080068371414"</f>
        <v>080068371414</v>
      </c>
      <c r="F756" s="3">
        <v>45937</v>
      </c>
      <c r="G756">
        <v>202607</v>
      </c>
      <c r="H756" t="s">
        <v>79</v>
      </c>
      <c r="I756" t="s">
        <v>80</v>
      </c>
      <c r="J756" t="s">
        <v>91</v>
      </c>
      <c r="K756" t="s">
        <v>78</v>
      </c>
      <c r="L756" t="s">
        <v>79</v>
      </c>
      <c r="M756" t="s">
        <v>80</v>
      </c>
      <c r="N756" t="s">
        <v>878</v>
      </c>
      <c r="O756" t="s">
        <v>82</v>
      </c>
      <c r="P756" t="str">
        <f>"4170063252                    "</f>
        <v xml:space="preserve">4170063252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17.46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55.42</v>
      </c>
      <c r="BM756">
        <v>8.31</v>
      </c>
      <c r="BN756">
        <v>63.73</v>
      </c>
      <c r="BO756">
        <v>63.73</v>
      </c>
      <c r="BQ756" t="s">
        <v>879</v>
      </c>
      <c r="BR756" t="s">
        <v>97</v>
      </c>
      <c r="BS756" s="3">
        <v>45938</v>
      </c>
      <c r="BT756" s="4">
        <v>0.41666666666666669</v>
      </c>
      <c r="BU756" t="s">
        <v>1488</v>
      </c>
      <c r="BV756" t="s">
        <v>86</v>
      </c>
      <c r="BY756">
        <v>1200</v>
      </c>
      <c r="CC756" t="s">
        <v>80</v>
      </c>
      <c r="CD756">
        <v>1609</v>
      </c>
      <c r="CE756" t="s">
        <v>147</v>
      </c>
      <c r="CF756" s="3">
        <v>45939</v>
      </c>
      <c r="CI756">
        <v>1</v>
      </c>
      <c r="CJ756">
        <v>1</v>
      </c>
      <c r="CK756">
        <v>22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"080068371508"</f>
        <v>080068371508</v>
      </c>
      <c r="F757" s="3">
        <v>45937</v>
      </c>
      <c r="G757">
        <v>202607</v>
      </c>
      <c r="H757" t="s">
        <v>79</v>
      </c>
      <c r="I757" t="s">
        <v>80</v>
      </c>
      <c r="J757" t="s">
        <v>91</v>
      </c>
      <c r="K757" t="s">
        <v>78</v>
      </c>
      <c r="L757" t="s">
        <v>79</v>
      </c>
      <c r="M757" t="s">
        <v>80</v>
      </c>
      <c r="N757" t="s">
        <v>163</v>
      </c>
      <c r="O757" t="s">
        <v>226</v>
      </c>
      <c r="P757" t="str">
        <f>"4170063269                    "</f>
        <v xml:space="preserve">4170063269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37.06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2</v>
      </c>
      <c r="BI757">
        <v>18</v>
      </c>
      <c r="BJ757">
        <v>8.4</v>
      </c>
      <c r="BK757">
        <v>18</v>
      </c>
      <c r="BL757">
        <v>117.63</v>
      </c>
      <c r="BM757">
        <v>17.64</v>
      </c>
      <c r="BN757">
        <v>135.27000000000001</v>
      </c>
      <c r="BO757">
        <v>135.27000000000001</v>
      </c>
      <c r="BQ757" t="s">
        <v>164</v>
      </c>
      <c r="BR757" t="s">
        <v>97</v>
      </c>
      <c r="BS757" s="3">
        <v>45938</v>
      </c>
      <c r="BT757" s="4">
        <v>0.34027777777777779</v>
      </c>
      <c r="BU757" t="s">
        <v>165</v>
      </c>
      <c r="BV757" t="s">
        <v>86</v>
      </c>
      <c r="BY757">
        <v>20992</v>
      </c>
      <c r="CA757" t="s">
        <v>166</v>
      </c>
      <c r="CC757" t="s">
        <v>80</v>
      </c>
      <c r="CD757">
        <v>1600</v>
      </c>
      <c r="CE757" t="s">
        <v>1088</v>
      </c>
      <c r="CF757" s="3">
        <v>45938</v>
      </c>
      <c r="CI757">
        <v>1</v>
      </c>
      <c r="CJ757">
        <v>1</v>
      </c>
      <c r="CK757">
        <v>32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"080068371775"</f>
        <v>080068371775</v>
      </c>
      <c r="F758" s="3">
        <v>45937</v>
      </c>
      <c r="G758">
        <v>202607</v>
      </c>
      <c r="H758" t="s">
        <v>79</v>
      </c>
      <c r="I758" t="s">
        <v>80</v>
      </c>
      <c r="J758" t="s">
        <v>91</v>
      </c>
      <c r="K758" t="s">
        <v>78</v>
      </c>
      <c r="L758" t="s">
        <v>271</v>
      </c>
      <c r="M758" t="s">
        <v>272</v>
      </c>
      <c r="N758" t="s">
        <v>1489</v>
      </c>
      <c r="O758" t="s">
        <v>95</v>
      </c>
      <c r="P758" t="str">
        <f>"4170063342                    "</f>
        <v xml:space="preserve">4170063342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33.36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7</v>
      </c>
      <c r="BJ758">
        <v>5.2</v>
      </c>
      <c r="BK758">
        <v>7</v>
      </c>
      <c r="BL758">
        <v>111.75</v>
      </c>
      <c r="BM758">
        <v>16.760000000000002</v>
      </c>
      <c r="BN758">
        <v>128.51</v>
      </c>
      <c r="BO758">
        <v>128.51</v>
      </c>
      <c r="BQ758" t="s">
        <v>1490</v>
      </c>
      <c r="BR758" t="s">
        <v>97</v>
      </c>
      <c r="BS758" s="3">
        <v>45938</v>
      </c>
      <c r="BT758" s="4">
        <v>0.42569444444444443</v>
      </c>
      <c r="BU758" t="s">
        <v>1491</v>
      </c>
      <c r="BV758" t="s">
        <v>86</v>
      </c>
      <c r="BY758">
        <v>26013</v>
      </c>
      <c r="CA758" t="s">
        <v>280</v>
      </c>
      <c r="CC758" t="s">
        <v>272</v>
      </c>
      <c r="CD758">
        <v>1406</v>
      </c>
      <c r="CE758" t="s">
        <v>931</v>
      </c>
      <c r="CF758" s="3">
        <v>45939</v>
      </c>
      <c r="CI758">
        <v>1</v>
      </c>
      <c r="CJ758">
        <v>1</v>
      </c>
      <c r="CK758">
        <v>42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"080068371785"</f>
        <v>080068371785</v>
      </c>
      <c r="F759" s="3">
        <v>45937</v>
      </c>
      <c r="G759">
        <v>202607</v>
      </c>
      <c r="H759" t="s">
        <v>79</v>
      </c>
      <c r="I759" t="s">
        <v>80</v>
      </c>
      <c r="J759" t="s">
        <v>91</v>
      </c>
      <c r="K759" t="s">
        <v>78</v>
      </c>
      <c r="L759" t="s">
        <v>218</v>
      </c>
      <c r="M759" t="s">
        <v>219</v>
      </c>
      <c r="N759" t="s">
        <v>520</v>
      </c>
      <c r="O759" t="s">
        <v>82</v>
      </c>
      <c r="P759" t="str">
        <f>"4170063230                    "</f>
        <v xml:space="preserve">4170063230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17.46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55.42</v>
      </c>
      <c r="BM759">
        <v>8.31</v>
      </c>
      <c r="BN759">
        <v>63.73</v>
      </c>
      <c r="BO759">
        <v>63.73</v>
      </c>
      <c r="BQ759" t="s">
        <v>521</v>
      </c>
      <c r="BR759" t="s">
        <v>97</v>
      </c>
      <c r="BS759" s="3">
        <v>45938</v>
      </c>
      <c r="BT759" s="4">
        <v>0.47916666666666669</v>
      </c>
      <c r="BU759" t="s">
        <v>1492</v>
      </c>
      <c r="BV759" t="s">
        <v>86</v>
      </c>
      <c r="BY759">
        <v>1200</v>
      </c>
      <c r="CA759" t="s">
        <v>1434</v>
      </c>
      <c r="CC759" t="s">
        <v>219</v>
      </c>
      <c r="CD759">
        <v>1559</v>
      </c>
      <c r="CE759" t="s">
        <v>147</v>
      </c>
      <c r="CF759" s="3">
        <v>45939</v>
      </c>
      <c r="CI759">
        <v>1</v>
      </c>
      <c r="CJ759">
        <v>1</v>
      </c>
      <c r="CK759">
        <v>22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"080068371808"</f>
        <v>080068371808</v>
      </c>
      <c r="F760" s="3">
        <v>45937</v>
      </c>
      <c r="G760">
        <v>202607</v>
      </c>
      <c r="H760" t="s">
        <v>79</v>
      </c>
      <c r="I760" t="s">
        <v>80</v>
      </c>
      <c r="J760" t="s">
        <v>91</v>
      </c>
      <c r="K760" t="s">
        <v>78</v>
      </c>
      <c r="L760" t="s">
        <v>92</v>
      </c>
      <c r="M760" t="s">
        <v>93</v>
      </c>
      <c r="N760" t="s">
        <v>94</v>
      </c>
      <c r="O760" t="s">
        <v>82</v>
      </c>
      <c r="P760" t="str">
        <f>"4170063337                    "</f>
        <v xml:space="preserve">4170063337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22.36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70.959999999999994</v>
      </c>
      <c r="BM760">
        <v>10.64</v>
      </c>
      <c r="BN760">
        <v>81.599999999999994</v>
      </c>
      <c r="BO760">
        <v>81.599999999999994</v>
      </c>
      <c r="BQ760" t="s">
        <v>96</v>
      </c>
      <c r="BR760" t="s">
        <v>97</v>
      </c>
      <c r="BS760" s="3">
        <v>45938</v>
      </c>
      <c r="BT760" s="4">
        <v>0.43333333333333335</v>
      </c>
      <c r="BU760" t="s">
        <v>1493</v>
      </c>
      <c r="BV760" t="s">
        <v>86</v>
      </c>
      <c r="BY760">
        <v>1200</v>
      </c>
      <c r="CA760" t="s">
        <v>1494</v>
      </c>
      <c r="CC760" t="s">
        <v>93</v>
      </c>
      <c r="CD760">
        <v>3200</v>
      </c>
      <c r="CE760" t="s">
        <v>147</v>
      </c>
      <c r="CF760" s="3">
        <v>45939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"080068371811"</f>
        <v>080068371811</v>
      </c>
      <c r="F761" s="3">
        <v>45937</v>
      </c>
      <c r="G761">
        <v>202607</v>
      </c>
      <c r="H761" t="s">
        <v>79</v>
      </c>
      <c r="I761" t="s">
        <v>80</v>
      </c>
      <c r="J761" t="s">
        <v>91</v>
      </c>
      <c r="K761" t="s">
        <v>78</v>
      </c>
      <c r="L761" t="s">
        <v>92</v>
      </c>
      <c r="M761" t="s">
        <v>93</v>
      </c>
      <c r="N761" t="s">
        <v>1495</v>
      </c>
      <c r="O761" t="s">
        <v>82</v>
      </c>
      <c r="P761" t="str">
        <f>"4170063366                    "</f>
        <v xml:space="preserve">4170063366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39.11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3.4</v>
      </c>
      <c r="BK761">
        <v>3.5</v>
      </c>
      <c r="BL761">
        <v>124.13</v>
      </c>
      <c r="BM761">
        <v>18.62</v>
      </c>
      <c r="BN761">
        <v>142.75</v>
      </c>
      <c r="BO761">
        <v>142.75</v>
      </c>
      <c r="BQ761" t="s">
        <v>1496</v>
      </c>
      <c r="BR761" t="s">
        <v>97</v>
      </c>
      <c r="BS761" s="3">
        <v>45938</v>
      </c>
      <c r="BT761" s="4">
        <v>0.49305555555555558</v>
      </c>
      <c r="BU761" t="s">
        <v>1497</v>
      </c>
      <c r="BV761" t="s">
        <v>86</v>
      </c>
      <c r="BY761">
        <v>16965</v>
      </c>
      <c r="CA761" t="s">
        <v>1494</v>
      </c>
      <c r="CC761" t="s">
        <v>93</v>
      </c>
      <c r="CD761">
        <v>3201</v>
      </c>
      <c r="CE761" t="s">
        <v>191</v>
      </c>
      <c r="CF761" s="3">
        <v>45939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"080068371842"</f>
        <v>080068371842</v>
      </c>
      <c r="F762" s="3">
        <v>45937</v>
      </c>
      <c r="G762">
        <v>202607</v>
      </c>
      <c r="H762" t="s">
        <v>79</v>
      </c>
      <c r="I762" t="s">
        <v>80</v>
      </c>
      <c r="J762" t="s">
        <v>91</v>
      </c>
      <c r="K762" t="s">
        <v>78</v>
      </c>
      <c r="L762" t="s">
        <v>108</v>
      </c>
      <c r="M762" t="s">
        <v>109</v>
      </c>
      <c r="N762" t="s">
        <v>842</v>
      </c>
      <c r="O762" t="s">
        <v>82</v>
      </c>
      <c r="P762" t="str">
        <f>"4170063287                    "</f>
        <v xml:space="preserve">4170063287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22.36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70.959999999999994</v>
      </c>
      <c r="BM762">
        <v>10.64</v>
      </c>
      <c r="BN762">
        <v>81.599999999999994</v>
      </c>
      <c r="BO762">
        <v>81.599999999999994</v>
      </c>
      <c r="BQ762" t="s">
        <v>843</v>
      </c>
      <c r="BR762" t="s">
        <v>97</v>
      </c>
      <c r="BS762" s="3">
        <v>45938</v>
      </c>
      <c r="BT762" s="4">
        <v>0.40416666666666667</v>
      </c>
      <c r="BU762" t="s">
        <v>1498</v>
      </c>
      <c r="BV762" t="s">
        <v>86</v>
      </c>
      <c r="BY762">
        <v>1200</v>
      </c>
      <c r="CA762" t="s">
        <v>1090</v>
      </c>
      <c r="CC762" t="s">
        <v>109</v>
      </c>
      <c r="CD762">
        <v>6012</v>
      </c>
      <c r="CE762" t="s">
        <v>147</v>
      </c>
      <c r="CF762" s="3">
        <v>45938</v>
      </c>
      <c r="CI762">
        <v>1</v>
      </c>
      <c r="CJ762">
        <v>1</v>
      </c>
      <c r="CK762">
        <v>21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"080068371846"</f>
        <v>080068371846</v>
      </c>
      <c r="F763" s="3">
        <v>45937</v>
      </c>
      <c r="G763">
        <v>202607</v>
      </c>
      <c r="H763" t="s">
        <v>79</v>
      </c>
      <c r="I763" t="s">
        <v>80</v>
      </c>
      <c r="J763" t="s">
        <v>91</v>
      </c>
      <c r="K763" t="s">
        <v>78</v>
      </c>
      <c r="L763" t="s">
        <v>168</v>
      </c>
      <c r="M763" t="s">
        <v>169</v>
      </c>
      <c r="N763" t="s">
        <v>1218</v>
      </c>
      <c r="O763" t="s">
        <v>82</v>
      </c>
      <c r="P763" t="str">
        <f>"4170063268                    "</f>
        <v xml:space="preserve">4170063268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22.36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0.9</v>
      </c>
      <c r="BK763">
        <v>1</v>
      </c>
      <c r="BL763">
        <v>70.959999999999994</v>
      </c>
      <c r="BM763">
        <v>10.64</v>
      </c>
      <c r="BN763">
        <v>81.599999999999994</v>
      </c>
      <c r="BO763">
        <v>81.599999999999994</v>
      </c>
      <c r="BQ763" t="s">
        <v>1219</v>
      </c>
      <c r="BR763" t="s">
        <v>97</v>
      </c>
      <c r="BS763" s="3">
        <v>45938</v>
      </c>
      <c r="BT763" s="4">
        <v>0.41805555555555557</v>
      </c>
      <c r="BU763" t="s">
        <v>1441</v>
      </c>
      <c r="BV763" t="s">
        <v>86</v>
      </c>
      <c r="BY763">
        <v>4275</v>
      </c>
      <c r="CA763" t="s">
        <v>1060</v>
      </c>
      <c r="CC763" t="s">
        <v>169</v>
      </c>
      <c r="CD763" s="5" t="s">
        <v>1061</v>
      </c>
      <c r="CE763" t="s">
        <v>191</v>
      </c>
      <c r="CF763" s="3">
        <v>45938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"080068371855"</f>
        <v>080068371855</v>
      </c>
      <c r="F764" s="3">
        <v>45937</v>
      </c>
      <c r="G764">
        <v>202607</v>
      </c>
      <c r="H764" t="s">
        <v>79</v>
      </c>
      <c r="I764" t="s">
        <v>80</v>
      </c>
      <c r="J764" t="s">
        <v>91</v>
      </c>
      <c r="K764" t="s">
        <v>78</v>
      </c>
      <c r="L764" t="s">
        <v>79</v>
      </c>
      <c r="M764" t="s">
        <v>80</v>
      </c>
      <c r="N764" t="s">
        <v>1499</v>
      </c>
      <c r="O764" t="s">
        <v>82</v>
      </c>
      <c r="P764" t="str">
        <f>"4170063333                    "</f>
        <v xml:space="preserve">4170063333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17.46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55.42</v>
      </c>
      <c r="BM764">
        <v>8.31</v>
      </c>
      <c r="BN764">
        <v>63.73</v>
      </c>
      <c r="BO764">
        <v>63.73</v>
      </c>
      <c r="BQ764" t="s">
        <v>1500</v>
      </c>
      <c r="BR764" t="s">
        <v>97</v>
      </c>
      <c r="BS764" s="3">
        <v>45938</v>
      </c>
      <c r="BT764" s="4">
        <v>0.43055555555555558</v>
      </c>
      <c r="BU764" t="s">
        <v>1424</v>
      </c>
      <c r="BV764" t="s">
        <v>86</v>
      </c>
      <c r="BY764">
        <v>1200</v>
      </c>
      <c r="CA764" t="s">
        <v>280</v>
      </c>
      <c r="CC764" t="s">
        <v>80</v>
      </c>
      <c r="CD764">
        <v>1614</v>
      </c>
      <c r="CE764" t="s">
        <v>147</v>
      </c>
      <c r="CF764" s="3">
        <v>45939</v>
      </c>
      <c r="CI764">
        <v>1</v>
      </c>
      <c r="CJ764">
        <v>1</v>
      </c>
      <c r="CK764">
        <v>22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"080068371888"</f>
        <v>080068371888</v>
      </c>
      <c r="F765" s="3">
        <v>45937</v>
      </c>
      <c r="G765">
        <v>202607</v>
      </c>
      <c r="H765" t="s">
        <v>79</v>
      </c>
      <c r="I765" t="s">
        <v>80</v>
      </c>
      <c r="J765" t="s">
        <v>91</v>
      </c>
      <c r="K765" t="s">
        <v>78</v>
      </c>
      <c r="L765" t="s">
        <v>75</v>
      </c>
      <c r="M765" t="s">
        <v>76</v>
      </c>
      <c r="N765" t="s">
        <v>1501</v>
      </c>
      <c r="O765" t="s">
        <v>82</v>
      </c>
      <c r="P765" t="str">
        <f>"4170063383                    "</f>
        <v xml:space="preserve">4170063383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17.46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1.1000000000000001</v>
      </c>
      <c r="BK765">
        <v>2</v>
      </c>
      <c r="BL765">
        <v>55.42</v>
      </c>
      <c r="BM765">
        <v>8.31</v>
      </c>
      <c r="BN765">
        <v>63.73</v>
      </c>
      <c r="BO765">
        <v>63.73</v>
      </c>
      <c r="BQ765" t="s">
        <v>1502</v>
      </c>
      <c r="BR765" t="s">
        <v>97</v>
      </c>
      <c r="BS765" s="3">
        <v>45938</v>
      </c>
      <c r="BT765" s="4">
        <v>0.41319444444444442</v>
      </c>
      <c r="BU765" t="s">
        <v>1259</v>
      </c>
      <c r="BV765" t="s">
        <v>86</v>
      </c>
      <c r="BY765">
        <v>5510</v>
      </c>
      <c r="CA765" t="s">
        <v>1503</v>
      </c>
      <c r="CC765" t="s">
        <v>76</v>
      </c>
      <c r="CD765">
        <v>2163</v>
      </c>
      <c r="CE765" t="s">
        <v>191</v>
      </c>
      <c r="CF765" s="3">
        <v>45939</v>
      </c>
      <c r="CI765">
        <v>1</v>
      </c>
      <c r="CJ765">
        <v>1</v>
      </c>
      <c r="CK765">
        <v>22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"080068371895"</f>
        <v>080068371895</v>
      </c>
      <c r="F766" s="3">
        <v>45937</v>
      </c>
      <c r="G766">
        <v>202607</v>
      </c>
      <c r="H766" t="s">
        <v>79</v>
      </c>
      <c r="I766" t="s">
        <v>80</v>
      </c>
      <c r="J766" t="s">
        <v>91</v>
      </c>
      <c r="K766" t="s">
        <v>78</v>
      </c>
      <c r="L766" t="s">
        <v>121</v>
      </c>
      <c r="M766" t="s">
        <v>122</v>
      </c>
      <c r="N766" t="s">
        <v>424</v>
      </c>
      <c r="O766" t="s">
        <v>82</v>
      </c>
      <c r="P766" t="str">
        <f>"4170063203                    "</f>
        <v xml:space="preserve">4170063203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22.36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70.959999999999994</v>
      </c>
      <c r="BM766">
        <v>10.64</v>
      </c>
      <c r="BN766">
        <v>81.599999999999994</v>
      </c>
      <c r="BO766">
        <v>81.599999999999994</v>
      </c>
      <c r="BQ766" t="s">
        <v>425</v>
      </c>
      <c r="BR766" t="s">
        <v>97</v>
      </c>
      <c r="BS766" s="3">
        <v>45938</v>
      </c>
      <c r="BT766" s="4">
        <v>0.79236111111111107</v>
      </c>
      <c r="BU766" t="s">
        <v>1504</v>
      </c>
      <c r="BV766" t="s">
        <v>90</v>
      </c>
      <c r="BW766" t="s">
        <v>136</v>
      </c>
      <c r="BX766" t="s">
        <v>1222</v>
      </c>
      <c r="BY766">
        <v>1200</v>
      </c>
      <c r="CA766" t="s">
        <v>157</v>
      </c>
      <c r="CC766" t="s">
        <v>122</v>
      </c>
      <c r="CD766">
        <v>4052</v>
      </c>
      <c r="CE766" t="s">
        <v>147</v>
      </c>
      <c r="CF766" s="3">
        <v>45938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"080068371916"</f>
        <v>080068371916</v>
      </c>
      <c r="F767" s="3">
        <v>45937</v>
      </c>
      <c r="G767">
        <v>202607</v>
      </c>
      <c r="H767" t="s">
        <v>79</v>
      </c>
      <c r="I767" t="s">
        <v>80</v>
      </c>
      <c r="J767" t="s">
        <v>91</v>
      </c>
      <c r="K767" t="s">
        <v>78</v>
      </c>
      <c r="L767" t="s">
        <v>108</v>
      </c>
      <c r="M767" t="s">
        <v>109</v>
      </c>
      <c r="N767" t="s">
        <v>515</v>
      </c>
      <c r="O767" t="s">
        <v>82</v>
      </c>
      <c r="P767" t="str">
        <f>"4170063291                    "</f>
        <v xml:space="preserve">4170063291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22.36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70.959999999999994</v>
      </c>
      <c r="BM767">
        <v>10.64</v>
      </c>
      <c r="BN767">
        <v>81.599999999999994</v>
      </c>
      <c r="BO767">
        <v>81.599999999999994</v>
      </c>
      <c r="BQ767" t="s">
        <v>516</v>
      </c>
      <c r="BR767" t="s">
        <v>97</v>
      </c>
      <c r="BS767" s="3">
        <v>45938</v>
      </c>
      <c r="BT767" s="4">
        <v>0.43333333333333335</v>
      </c>
      <c r="BU767" t="s">
        <v>1505</v>
      </c>
      <c r="BV767" t="s">
        <v>86</v>
      </c>
      <c r="BY767">
        <v>1200</v>
      </c>
      <c r="CA767" t="s">
        <v>559</v>
      </c>
      <c r="CC767" t="s">
        <v>109</v>
      </c>
      <c r="CD767">
        <v>6001</v>
      </c>
      <c r="CE767" t="s">
        <v>147</v>
      </c>
      <c r="CF767" s="3">
        <v>45938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"080068371936"</f>
        <v>080068371936</v>
      </c>
      <c r="F768" s="3">
        <v>45937</v>
      </c>
      <c r="G768">
        <v>202607</v>
      </c>
      <c r="H768" t="s">
        <v>79</v>
      </c>
      <c r="I768" t="s">
        <v>80</v>
      </c>
      <c r="J768" t="s">
        <v>91</v>
      </c>
      <c r="K768" t="s">
        <v>78</v>
      </c>
      <c r="L768" t="s">
        <v>114</v>
      </c>
      <c r="M768" t="s">
        <v>115</v>
      </c>
      <c r="N768" t="s">
        <v>1235</v>
      </c>
      <c r="O768" t="s">
        <v>82</v>
      </c>
      <c r="P768" t="str">
        <f>"4170063352                    "</f>
        <v xml:space="preserve">4170063352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134.04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2</v>
      </c>
      <c r="BI768">
        <v>12</v>
      </c>
      <c r="BJ768">
        <v>7.2</v>
      </c>
      <c r="BK768">
        <v>12</v>
      </c>
      <c r="BL768">
        <v>425.44</v>
      </c>
      <c r="BM768">
        <v>63.82</v>
      </c>
      <c r="BN768">
        <v>489.26</v>
      </c>
      <c r="BO768">
        <v>489.26</v>
      </c>
      <c r="BQ768" t="s">
        <v>1236</v>
      </c>
      <c r="BR768" t="s">
        <v>97</v>
      </c>
      <c r="BS768" s="3">
        <v>45940</v>
      </c>
      <c r="BT768" s="4">
        <v>0.62291666666666667</v>
      </c>
      <c r="BU768" t="s">
        <v>1506</v>
      </c>
      <c r="BV768" t="s">
        <v>90</v>
      </c>
      <c r="BY768">
        <v>36005</v>
      </c>
      <c r="CA768" t="s">
        <v>1017</v>
      </c>
      <c r="CC768" t="s">
        <v>115</v>
      </c>
      <c r="CD768">
        <v>5201</v>
      </c>
      <c r="CE768" t="s">
        <v>107</v>
      </c>
      <c r="CF768" s="3">
        <v>45940</v>
      </c>
      <c r="CI768">
        <v>1</v>
      </c>
      <c r="CJ768">
        <v>3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"080068371939"</f>
        <v>080068371939</v>
      </c>
      <c r="F769" s="3">
        <v>45937</v>
      </c>
      <c r="G769">
        <v>202607</v>
      </c>
      <c r="H769" t="s">
        <v>79</v>
      </c>
      <c r="I769" t="s">
        <v>80</v>
      </c>
      <c r="J769" t="s">
        <v>91</v>
      </c>
      <c r="K769" t="s">
        <v>78</v>
      </c>
      <c r="L769" t="s">
        <v>121</v>
      </c>
      <c r="M769" t="s">
        <v>122</v>
      </c>
      <c r="N769" t="s">
        <v>632</v>
      </c>
      <c r="O769" t="s">
        <v>82</v>
      </c>
      <c r="P769" t="str">
        <f>"4170063329                    "</f>
        <v xml:space="preserve">4170063329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22.36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70.959999999999994</v>
      </c>
      <c r="BM769">
        <v>10.64</v>
      </c>
      <c r="BN769">
        <v>81.599999999999994</v>
      </c>
      <c r="BO769">
        <v>81.599999999999994</v>
      </c>
      <c r="BQ769" t="s">
        <v>633</v>
      </c>
      <c r="BR769" t="s">
        <v>97</v>
      </c>
      <c r="BS769" s="3">
        <v>45938</v>
      </c>
      <c r="BT769" s="4">
        <v>0.53263888888888888</v>
      </c>
      <c r="BU769" t="s">
        <v>1507</v>
      </c>
      <c r="BV769" t="s">
        <v>90</v>
      </c>
      <c r="BW769" t="s">
        <v>136</v>
      </c>
      <c r="BX769" t="s">
        <v>1222</v>
      </c>
      <c r="BY769">
        <v>1200</v>
      </c>
      <c r="CA769" t="s">
        <v>635</v>
      </c>
      <c r="CC769" t="s">
        <v>122</v>
      </c>
      <c r="CD769">
        <v>4000</v>
      </c>
      <c r="CE769" t="s">
        <v>147</v>
      </c>
      <c r="CF769" s="3">
        <v>45939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"080068371961"</f>
        <v>080068371961</v>
      </c>
      <c r="F770" s="3">
        <v>45937</v>
      </c>
      <c r="G770">
        <v>202607</v>
      </c>
      <c r="H770" t="s">
        <v>79</v>
      </c>
      <c r="I770" t="s">
        <v>80</v>
      </c>
      <c r="J770" t="s">
        <v>91</v>
      </c>
      <c r="K770" t="s">
        <v>78</v>
      </c>
      <c r="L770" t="s">
        <v>453</v>
      </c>
      <c r="M770" t="s">
        <v>454</v>
      </c>
      <c r="N770" t="s">
        <v>1397</v>
      </c>
      <c r="O770" t="s">
        <v>82</v>
      </c>
      <c r="P770" t="str">
        <f>"4170063272                    "</f>
        <v xml:space="preserve">4170063272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22.36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70.959999999999994</v>
      </c>
      <c r="BM770">
        <v>10.64</v>
      </c>
      <c r="BN770">
        <v>81.599999999999994</v>
      </c>
      <c r="BO770">
        <v>81.599999999999994</v>
      </c>
      <c r="BQ770" t="s">
        <v>1398</v>
      </c>
      <c r="BR770" t="s">
        <v>97</v>
      </c>
      <c r="BS770" s="3">
        <v>45938</v>
      </c>
      <c r="BT770" s="4">
        <v>0.41666666666666669</v>
      </c>
      <c r="BU770" t="s">
        <v>1399</v>
      </c>
      <c r="BV770" t="s">
        <v>86</v>
      </c>
      <c r="BY770">
        <v>1200</v>
      </c>
      <c r="CA770" t="s">
        <v>457</v>
      </c>
      <c r="CC770" t="s">
        <v>454</v>
      </c>
      <c r="CD770">
        <v>3600</v>
      </c>
      <c r="CE770" t="s">
        <v>147</v>
      </c>
      <c r="CF770" s="3">
        <v>45938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"080068371982"</f>
        <v>080068371982</v>
      </c>
      <c r="F771" s="3">
        <v>45937</v>
      </c>
      <c r="G771">
        <v>202607</v>
      </c>
      <c r="H771" t="s">
        <v>79</v>
      </c>
      <c r="I771" t="s">
        <v>80</v>
      </c>
      <c r="J771" t="s">
        <v>91</v>
      </c>
      <c r="K771" t="s">
        <v>78</v>
      </c>
      <c r="L771" t="s">
        <v>1508</v>
      </c>
      <c r="M771" t="s">
        <v>1509</v>
      </c>
      <c r="N771" t="s">
        <v>1510</v>
      </c>
      <c r="O771" t="s">
        <v>82</v>
      </c>
      <c r="P771" t="str">
        <f>"4170063371                    "</f>
        <v xml:space="preserve">4170063371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101.99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5</v>
      </c>
      <c r="BJ771">
        <v>1.2</v>
      </c>
      <c r="BK771">
        <v>5</v>
      </c>
      <c r="BL771">
        <v>323.70999999999998</v>
      </c>
      <c r="BM771">
        <v>48.56</v>
      </c>
      <c r="BN771">
        <v>372.27</v>
      </c>
      <c r="BO771">
        <v>372.27</v>
      </c>
      <c r="BQ771" t="s">
        <v>1511</v>
      </c>
      <c r="BR771" t="s">
        <v>97</v>
      </c>
      <c r="BS771" s="3">
        <v>45938</v>
      </c>
      <c r="BT771" s="4">
        <v>0.51944444444444449</v>
      </c>
      <c r="BU771" t="s">
        <v>1512</v>
      </c>
      <c r="BV771" t="s">
        <v>86</v>
      </c>
      <c r="BY771">
        <v>6000</v>
      </c>
      <c r="CA771" t="s">
        <v>1513</v>
      </c>
      <c r="CC771" t="s">
        <v>1509</v>
      </c>
      <c r="CD771">
        <v>3370</v>
      </c>
      <c r="CE771" t="s">
        <v>147</v>
      </c>
      <c r="CF771" s="3">
        <v>45939</v>
      </c>
      <c r="CI771">
        <v>2</v>
      </c>
      <c r="CJ771">
        <v>1</v>
      </c>
      <c r="CK771">
        <v>23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"080068372087"</f>
        <v>080068372087</v>
      </c>
      <c r="F772" s="3">
        <v>45937</v>
      </c>
      <c r="G772">
        <v>202607</v>
      </c>
      <c r="H772" t="s">
        <v>79</v>
      </c>
      <c r="I772" t="s">
        <v>80</v>
      </c>
      <c r="J772" t="s">
        <v>91</v>
      </c>
      <c r="K772" t="s">
        <v>78</v>
      </c>
      <c r="L772" t="s">
        <v>206</v>
      </c>
      <c r="M772" t="s">
        <v>207</v>
      </c>
      <c r="N772" t="s">
        <v>1514</v>
      </c>
      <c r="O772" t="s">
        <v>82</v>
      </c>
      <c r="P772" t="str">
        <f>"4170063266                    "</f>
        <v xml:space="preserve">4170063266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22.36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70.959999999999994</v>
      </c>
      <c r="BM772">
        <v>10.64</v>
      </c>
      <c r="BN772">
        <v>81.599999999999994</v>
      </c>
      <c r="BO772">
        <v>81.599999999999994</v>
      </c>
      <c r="BQ772" t="s">
        <v>1515</v>
      </c>
      <c r="BR772" t="s">
        <v>97</v>
      </c>
      <c r="BS772" s="3">
        <v>45938</v>
      </c>
      <c r="BT772" s="4">
        <v>0.4201388888888889</v>
      </c>
      <c r="BU772" t="s">
        <v>1516</v>
      </c>
      <c r="BV772" t="s">
        <v>86</v>
      </c>
      <c r="BY772">
        <v>1200</v>
      </c>
      <c r="CA772" t="s">
        <v>388</v>
      </c>
      <c r="CC772" t="s">
        <v>207</v>
      </c>
      <c r="CD772">
        <v>7405</v>
      </c>
      <c r="CE772" t="s">
        <v>147</v>
      </c>
      <c r="CF772" s="3">
        <v>45939</v>
      </c>
      <c r="CI772">
        <v>1</v>
      </c>
      <c r="CJ772">
        <v>1</v>
      </c>
      <c r="CK772">
        <v>21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"080068372111"</f>
        <v>080068372111</v>
      </c>
      <c r="F773" s="3">
        <v>45937</v>
      </c>
      <c r="G773">
        <v>202607</v>
      </c>
      <c r="H773" t="s">
        <v>79</v>
      </c>
      <c r="I773" t="s">
        <v>80</v>
      </c>
      <c r="J773" t="s">
        <v>91</v>
      </c>
      <c r="K773" t="s">
        <v>78</v>
      </c>
      <c r="L773" t="s">
        <v>121</v>
      </c>
      <c r="M773" t="s">
        <v>122</v>
      </c>
      <c r="N773" t="s">
        <v>123</v>
      </c>
      <c r="O773" t="s">
        <v>82</v>
      </c>
      <c r="P773" t="str">
        <f>"4170063236                    "</f>
        <v xml:space="preserve">4170063236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22.36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70.959999999999994</v>
      </c>
      <c r="BM773">
        <v>10.64</v>
      </c>
      <c r="BN773">
        <v>81.599999999999994</v>
      </c>
      <c r="BO773">
        <v>81.599999999999994</v>
      </c>
      <c r="BQ773" t="s">
        <v>124</v>
      </c>
      <c r="BR773" t="s">
        <v>97</v>
      </c>
      <c r="BS773" s="3">
        <v>45938</v>
      </c>
      <c r="BT773" s="4">
        <v>0.35138888888888886</v>
      </c>
      <c r="BU773" t="s">
        <v>927</v>
      </c>
      <c r="BV773" t="s">
        <v>86</v>
      </c>
      <c r="BY773">
        <v>1200</v>
      </c>
      <c r="CA773" t="s">
        <v>758</v>
      </c>
      <c r="CC773" t="s">
        <v>122</v>
      </c>
      <c r="CD773">
        <v>4051</v>
      </c>
      <c r="CE773" t="s">
        <v>147</v>
      </c>
      <c r="CF773" s="3">
        <v>45938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"080068372129"</f>
        <v>080068372129</v>
      </c>
      <c r="F774" s="3">
        <v>45937</v>
      </c>
      <c r="G774">
        <v>202607</v>
      </c>
      <c r="H774" t="s">
        <v>79</v>
      </c>
      <c r="I774" t="s">
        <v>80</v>
      </c>
      <c r="J774" t="s">
        <v>91</v>
      </c>
      <c r="K774" t="s">
        <v>78</v>
      </c>
      <c r="L774" t="s">
        <v>206</v>
      </c>
      <c r="M774" t="s">
        <v>207</v>
      </c>
      <c r="N774" t="s">
        <v>1517</v>
      </c>
      <c r="O774" t="s">
        <v>82</v>
      </c>
      <c r="P774" t="str">
        <f>"4170063336                    "</f>
        <v xml:space="preserve">4170063336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22.36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70.959999999999994</v>
      </c>
      <c r="BM774">
        <v>10.64</v>
      </c>
      <c r="BN774">
        <v>81.599999999999994</v>
      </c>
      <c r="BO774">
        <v>81.599999999999994</v>
      </c>
      <c r="BQ774" t="s">
        <v>1518</v>
      </c>
      <c r="BR774" t="s">
        <v>97</v>
      </c>
      <c r="BS774" s="3">
        <v>45938</v>
      </c>
      <c r="BT774" s="4">
        <v>0.57430555555555551</v>
      </c>
      <c r="BU774" t="s">
        <v>1519</v>
      </c>
      <c r="BV774" t="s">
        <v>90</v>
      </c>
      <c r="BW774" t="s">
        <v>347</v>
      </c>
      <c r="BX774" t="s">
        <v>451</v>
      </c>
      <c r="BY774">
        <v>1200</v>
      </c>
      <c r="CA774" t="s">
        <v>569</v>
      </c>
      <c r="CC774" t="s">
        <v>207</v>
      </c>
      <c r="CD774">
        <v>7945</v>
      </c>
      <c r="CE774" t="s">
        <v>147</v>
      </c>
      <c r="CF774" s="3">
        <v>45939</v>
      </c>
      <c r="CI774">
        <v>1</v>
      </c>
      <c r="CJ774">
        <v>1</v>
      </c>
      <c r="CK774">
        <v>21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"080068372157"</f>
        <v>080068372157</v>
      </c>
      <c r="F775" s="3">
        <v>45937</v>
      </c>
      <c r="G775">
        <v>202607</v>
      </c>
      <c r="H775" t="s">
        <v>79</v>
      </c>
      <c r="I775" t="s">
        <v>80</v>
      </c>
      <c r="J775" t="s">
        <v>91</v>
      </c>
      <c r="K775" t="s">
        <v>78</v>
      </c>
      <c r="L775" t="s">
        <v>92</v>
      </c>
      <c r="M775" t="s">
        <v>93</v>
      </c>
      <c r="N775" t="s">
        <v>94</v>
      </c>
      <c r="O775" t="s">
        <v>82</v>
      </c>
      <c r="P775" t="str">
        <f>"4170063295                    "</f>
        <v xml:space="preserve">4170063295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22.36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70.959999999999994</v>
      </c>
      <c r="BM775">
        <v>10.64</v>
      </c>
      <c r="BN775">
        <v>81.599999999999994</v>
      </c>
      <c r="BO775">
        <v>81.599999999999994</v>
      </c>
      <c r="BQ775" t="s">
        <v>96</v>
      </c>
      <c r="BR775" t="s">
        <v>97</v>
      </c>
      <c r="BS775" s="3">
        <v>45938</v>
      </c>
      <c r="BT775" s="4">
        <v>0.42708333333333331</v>
      </c>
      <c r="BU775" t="s">
        <v>1520</v>
      </c>
      <c r="BV775" t="s">
        <v>86</v>
      </c>
      <c r="BY775">
        <v>1200</v>
      </c>
      <c r="CA775" t="s">
        <v>1494</v>
      </c>
      <c r="CC775" t="s">
        <v>93</v>
      </c>
      <c r="CD775">
        <v>3201</v>
      </c>
      <c r="CE775" t="s">
        <v>147</v>
      </c>
      <c r="CF775" s="3">
        <v>45939</v>
      </c>
      <c r="CI775">
        <v>1</v>
      </c>
      <c r="CJ775">
        <v>1</v>
      </c>
      <c r="CK775">
        <v>21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"080068372320"</f>
        <v>080068372320</v>
      </c>
      <c r="F776" s="3">
        <v>45937</v>
      </c>
      <c r="G776">
        <v>202607</v>
      </c>
      <c r="H776" t="s">
        <v>79</v>
      </c>
      <c r="I776" t="s">
        <v>80</v>
      </c>
      <c r="J776" t="s">
        <v>91</v>
      </c>
      <c r="K776" t="s">
        <v>78</v>
      </c>
      <c r="L776" t="s">
        <v>92</v>
      </c>
      <c r="M776" t="s">
        <v>93</v>
      </c>
      <c r="N776" t="s">
        <v>601</v>
      </c>
      <c r="O776" t="s">
        <v>82</v>
      </c>
      <c r="P776" t="str">
        <f>"4170063280                    "</f>
        <v xml:space="preserve">4170063280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201.06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18</v>
      </c>
      <c r="BJ776">
        <v>8.1999999999999993</v>
      </c>
      <c r="BK776">
        <v>18</v>
      </c>
      <c r="BL776">
        <v>638.14</v>
      </c>
      <c r="BM776">
        <v>95.72</v>
      </c>
      <c r="BN776">
        <v>733.86</v>
      </c>
      <c r="BO776">
        <v>733.86</v>
      </c>
      <c r="BQ776" t="s">
        <v>602</v>
      </c>
      <c r="BR776" t="s">
        <v>97</v>
      </c>
      <c r="BS776" s="3">
        <v>45938</v>
      </c>
      <c r="BT776" s="4">
        <v>0.4513888888888889</v>
      </c>
      <c r="BU776" t="s">
        <v>1521</v>
      </c>
      <c r="BV776" t="s">
        <v>86</v>
      </c>
      <c r="BY776">
        <v>41154</v>
      </c>
      <c r="CC776" t="s">
        <v>93</v>
      </c>
      <c r="CD776">
        <v>3212</v>
      </c>
      <c r="CE776" t="s">
        <v>191</v>
      </c>
      <c r="CF776" s="3">
        <v>45939</v>
      </c>
      <c r="CI776">
        <v>2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"080068372377"</f>
        <v>080068372377</v>
      </c>
      <c r="F777" s="3">
        <v>45937</v>
      </c>
      <c r="G777">
        <v>202607</v>
      </c>
      <c r="H777" t="s">
        <v>79</v>
      </c>
      <c r="I777" t="s">
        <v>80</v>
      </c>
      <c r="J777" t="s">
        <v>91</v>
      </c>
      <c r="K777" t="s">
        <v>78</v>
      </c>
      <c r="L777" t="s">
        <v>265</v>
      </c>
      <c r="M777" t="s">
        <v>266</v>
      </c>
      <c r="N777" t="s">
        <v>536</v>
      </c>
      <c r="O777" t="s">
        <v>82</v>
      </c>
      <c r="P777" t="str">
        <f>"4170063327                    "</f>
        <v xml:space="preserve">4170063327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22.36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70.959999999999994</v>
      </c>
      <c r="BM777">
        <v>10.64</v>
      </c>
      <c r="BN777">
        <v>81.599999999999994</v>
      </c>
      <c r="BO777">
        <v>81.599999999999994</v>
      </c>
      <c r="BQ777" t="s">
        <v>537</v>
      </c>
      <c r="BR777" t="s">
        <v>97</v>
      </c>
      <c r="BS777" s="3">
        <v>45938</v>
      </c>
      <c r="BT777" s="4">
        <v>0.33750000000000002</v>
      </c>
      <c r="BU777" t="s">
        <v>1522</v>
      </c>
      <c r="BV777" t="s">
        <v>86</v>
      </c>
      <c r="BY777">
        <v>1200</v>
      </c>
      <c r="CA777" t="s">
        <v>818</v>
      </c>
      <c r="CC777" t="s">
        <v>266</v>
      </c>
      <c r="CD777">
        <v>6230</v>
      </c>
      <c r="CE777" t="s">
        <v>147</v>
      </c>
      <c r="CF777" s="3">
        <v>45938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"080068372400"</f>
        <v>080068372400</v>
      </c>
      <c r="F778" s="3">
        <v>45937</v>
      </c>
      <c r="G778">
        <v>202607</v>
      </c>
      <c r="H778" t="s">
        <v>79</v>
      </c>
      <c r="I778" t="s">
        <v>80</v>
      </c>
      <c r="J778" t="s">
        <v>91</v>
      </c>
      <c r="K778" t="s">
        <v>78</v>
      </c>
      <c r="L778" t="s">
        <v>206</v>
      </c>
      <c r="M778" t="s">
        <v>207</v>
      </c>
      <c r="N778" t="s">
        <v>656</v>
      </c>
      <c r="O778" t="s">
        <v>82</v>
      </c>
      <c r="P778" t="str">
        <f>"4170063373                    "</f>
        <v xml:space="preserve">4170063373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22.36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70.959999999999994</v>
      </c>
      <c r="BM778">
        <v>10.64</v>
      </c>
      <c r="BN778">
        <v>81.599999999999994</v>
      </c>
      <c r="BO778">
        <v>81.599999999999994</v>
      </c>
      <c r="BQ778" t="s">
        <v>657</v>
      </c>
      <c r="BR778" t="s">
        <v>97</v>
      </c>
      <c r="BS778" s="3">
        <v>45938</v>
      </c>
      <c r="BT778" s="4">
        <v>0.42222222222222222</v>
      </c>
      <c r="BU778" t="s">
        <v>1442</v>
      </c>
      <c r="BV778" t="s">
        <v>86</v>
      </c>
      <c r="BY778">
        <v>1200</v>
      </c>
      <c r="CA778" t="s">
        <v>770</v>
      </c>
      <c r="CC778" t="s">
        <v>207</v>
      </c>
      <c r="CD778">
        <v>7441</v>
      </c>
      <c r="CE778" t="s">
        <v>147</v>
      </c>
      <c r="CF778" s="3">
        <v>45939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"080068372463"</f>
        <v>080068372463</v>
      </c>
      <c r="F779" s="3">
        <v>45937</v>
      </c>
      <c r="G779">
        <v>202607</v>
      </c>
      <c r="H779" t="s">
        <v>79</v>
      </c>
      <c r="I779" t="s">
        <v>80</v>
      </c>
      <c r="J779" t="s">
        <v>91</v>
      </c>
      <c r="K779" t="s">
        <v>78</v>
      </c>
      <c r="L779" t="s">
        <v>168</v>
      </c>
      <c r="M779" t="s">
        <v>169</v>
      </c>
      <c r="N779" t="s">
        <v>923</v>
      </c>
      <c r="O779" t="s">
        <v>82</v>
      </c>
      <c r="P779" t="str">
        <f>"4170063251                    "</f>
        <v xml:space="preserve">4170063251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22.36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2</v>
      </c>
      <c r="BK779">
        <v>2</v>
      </c>
      <c r="BL779">
        <v>70.959999999999994</v>
      </c>
      <c r="BM779">
        <v>10.64</v>
      </c>
      <c r="BN779">
        <v>81.599999999999994</v>
      </c>
      <c r="BO779">
        <v>81.599999999999994</v>
      </c>
      <c r="BQ779" t="s">
        <v>924</v>
      </c>
      <c r="BR779" t="s">
        <v>97</v>
      </c>
      <c r="BS779" s="3">
        <v>45938</v>
      </c>
      <c r="BT779" s="4">
        <v>0.39652777777777776</v>
      </c>
      <c r="BU779" t="s">
        <v>1121</v>
      </c>
      <c r="BV779" t="s">
        <v>86</v>
      </c>
      <c r="BY779">
        <v>9900</v>
      </c>
      <c r="CC779" t="s">
        <v>169</v>
      </c>
      <c r="CD779" s="5" t="s">
        <v>926</v>
      </c>
      <c r="CE779" t="s">
        <v>191</v>
      </c>
      <c r="CF779" s="3">
        <v>45938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"080068372490"</f>
        <v>080068372490</v>
      </c>
      <c r="F780" s="3">
        <v>45937</v>
      </c>
      <c r="G780">
        <v>202607</v>
      </c>
      <c r="H780" t="s">
        <v>79</v>
      </c>
      <c r="I780" t="s">
        <v>80</v>
      </c>
      <c r="J780" t="s">
        <v>91</v>
      </c>
      <c r="K780" t="s">
        <v>78</v>
      </c>
      <c r="L780" t="s">
        <v>265</v>
      </c>
      <c r="M780" t="s">
        <v>266</v>
      </c>
      <c r="N780" t="s">
        <v>721</v>
      </c>
      <c r="O780" t="s">
        <v>82</v>
      </c>
      <c r="P780" t="str">
        <f>"4170063267                    "</f>
        <v xml:space="preserve">4170063267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33.520000000000003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3</v>
      </c>
      <c r="BJ780">
        <v>1.1000000000000001</v>
      </c>
      <c r="BK780">
        <v>3</v>
      </c>
      <c r="BL780">
        <v>106.4</v>
      </c>
      <c r="BM780">
        <v>15.96</v>
      </c>
      <c r="BN780">
        <v>122.36</v>
      </c>
      <c r="BO780">
        <v>122.36</v>
      </c>
      <c r="BQ780" t="s">
        <v>722</v>
      </c>
      <c r="BR780" t="s">
        <v>97</v>
      </c>
      <c r="BS780" s="3">
        <v>45938</v>
      </c>
      <c r="BT780" s="4">
        <v>0.34444444444444444</v>
      </c>
      <c r="BU780" t="s">
        <v>723</v>
      </c>
      <c r="BV780" t="s">
        <v>86</v>
      </c>
      <c r="BY780">
        <v>5320</v>
      </c>
      <c r="CA780" t="s">
        <v>818</v>
      </c>
      <c r="CC780" t="s">
        <v>266</v>
      </c>
      <c r="CD780">
        <v>6021</v>
      </c>
      <c r="CE780" t="s">
        <v>191</v>
      </c>
      <c r="CF780" s="3">
        <v>45938</v>
      </c>
      <c r="CI780">
        <v>1</v>
      </c>
      <c r="CJ780">
        <v>1</v>
      </c>
      <c r="CK780">
        <v>21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"080068372516"</f>
        <v>080068372516</v>
      </c>
      <c r="F781" s="3">
        <v>45937</v>
      </c>
      <c r="G781">
        <v>202607</v>
      </c>
      <c r="H781" t="s">
        <v>79</v>
      </c>
      <c r="I781" t="s">
        <v>80</v>
      </c>
      <c r="J781" t="s">
        <v>91</v>
      </c>
      <c r="K781" t="s">
        <v>78</v>
      </c>
      <c r="L781" t="s">
        <v>487</v>
      </c>
      <c r="M781" t="s">
        <v>488</v>
      </c>
      <c r="N781" t="s">
        <v>489</v>
      </c>
      <c r="O781" t="s">
        <v>95</v>
      </c>
      <c r="P781" t="str">
        <f>"4170063358                    "</f>
        <v xml:space="preserve">4170063358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67.2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16</v>
      </c>
      <c r="BJ781">
        <v>16.3</v>
      </c>
      <c r="BK781">
        <v>17</v>
      </c>
      <c r="BL781">
        <v>219.16</v>
      </c>
      <c r="BM781">
        <v>32.869999999999997</v>
      </c>
      <c r="BN781">
        <v>252.03</v>
      </c>
      <c r="BO781">
        <v>252.03</v>
      </c>
      <c r="BQ781" t="s">
        <v>490</v>
      </c>
      <c r="BR781" t="s">
        <v>97</v>
      </c>
      <c r="BS781" s="3">
        <v>45939</v>
      </c>
      <c r="BT781" s="4">
        <v>0.49166666666666664</v>
      </c>
      <c r="BU781" t="s">
        <v>604</v>
      </c>
      <c r="BV781" t="s">
        <v>86</v>
      </c>
      <c r="BY781">
        <v>81675</v>
      </c>
      <c r="CA781" t="s">
        <v>1265</v>
      </c>
      <c r="CC781" t="s">
        <v>488</v>
      </c>
      <c r="CD781">
        <v>6715</v>
      </c>
      <c r="CE781" t="s">
        <v>1262</v>
      </c>
      <c r="CF781" s="3">
        <v>45940</v>
      </c>
      <c r="CI781">
        <v>4</v>
      </c>
      <c r="CJ781">
        <v>2</v>
      </c>
      <c r="CK781">
        <v>43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"080068372541"</f>
        <v>080068372541</v>
      </c>
      <c r="F782" s="3">
        <v>45937</v>
      </c>
      <c r="G782">
        <v>202607</v>
      </c>
      <c r="H782" t="s">
        <v>79</v>
      </c>
      <c r="I782" t="s">
        <v>80</v>
      </c>
      <c r="J782" t="s">
        <v>91</v>
      </c>
      <c r="K782" t="s">
        <v>78</v>
      </c>
      <c r="L782" t="s">
        <v>108</v>
      </c>
      <c r="M782" t="s">
        <v>109</v>
      </c>
      <c r="N782" t="s">
        <v>515</v>
      </c>
      <c r="O782" t="s">
        <v>95</v>
      </c>
      <c r="P782" t="str">
        <f>"4170063335                    "</f>
        <v xml:space="preserve">4170063335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53.94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2</v>
      </c>
      <c r="BI782">
        <v>21</v>
      </c>
      <c r="BJ782">
        <v>4.7</v>
      </c>
      <c r="BK782">
        <v>21</v>
      </c>
      <c r="BL782">
        <v>177.07</v>
      </c>
      <c r="BM782">
        <v>26.56</v>
      </c>
      <c r="BN782">
        <v>203.63</v>
      </c>
      <c r="BO782">
        <v>203.63</v>
      </c>
      <c r="BQ782" t="s">
        <v>516</v>
      </c>
      <c r="BR782" t="s">
        <v>97</v>
      </c>
      <c r="BS782" s="3">
        <v>45939</v>
      </c>
      <c r="BT782" s="4">
        <v>0.43402777777777779</v>
      </c>
      <c r="BU782" t="s">
        <v>1289</v>
      </c>
      <c r="BV782" t="s">
        <v>86</v>
      </c>
      <c r="BY782">
        <v>23302</v>
      </c>
      <c r="CA782" t="s">
        <v>1137</v>
      </c>
      <c r="CC782" t="s">
        <v>109</v>
      </c>
      <c r="CD782">
        <v>6001</v>
      </c>
      <c r="CE782" t="s">
        <v>191</v>
      </c>
      <c r="CF782" s="3">
        <v>45940</v>
      </c>
      <c r="CI782">
        <v>3</v>
      </c>
      <c r="CJ782">
        <v>2</v>
      </c>
      <c r="CK782">
        <v>41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"080068372551"</f>
        <v>080068372551</v>
      </c>
      <c r="F783" s="3">
        <v>45937</v>
      </c>
      <c r="G783">
        <v>202607</v>
      </c>
      <c r="H783" t="s">
        <v>79</v>
      </c>
      <c r="I783" t="s">
        <v>80</v>
      </c>
      <c r="J783" t="s">
        <v>91</v>
      </c>
      <c r="K783" t="s">
        <v>78</v>
      </c>
      <c r="L783" t="s">
        <v>121</v>
      </c>
      <c r="M783" t="s">
        <v>122</v>
      </c>
      <c r="N783" t="s">
        <v>1523</v>
      </c>
      <c r="O783" t="s">
        <v>82</v>
      </c>
      <c r="P783" t="str">
        <f>"4170063376                    "</f>
        <v xml:space="preserve">4170063376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22.36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70.959999999999994</v>
      </c>
      <c r="BM783">
        <v>10.64</v>
      </c>
      <c r="BN783">
        <v>81.599999999999994</v>
      </c>
      <c r="BO783">
        <v>81.599999999999994</v>
      </c>
      <c r="BQ783" t="s">
        <v>1524</v>
      </c>
      <c r="BR783" t="s">
        <v>97</v>
      </c>
      <c r="BS783" s="3">
        <v>45938</v>
      </c>
      <c r="BT783" s="4">
        <v>0.63749999999999996</v>
      </c>
      <c r="BU783" t="s">
        <v>1525</v>
      </c>
      <c r="BV783" t="s">
        <v>90</v>
      </c>
      <c r="BW783" t="s">
        <v>136</v>
      </c>
      <c r="BX783" t="s">
        <v>1222</v>
      </c>
      <c r="BY783">
        <v>1200</v>
      </c>
      <c r="CA783" t="s">
        <v>331</v>
      </c>
      <c r="CC783" t="s">
        <v>122</v>
      </c>
      <c r="CD783">
        <v>4052</v>
      </c>
      <c r="CE783" t="s">
        <v>147</v>
      </c>
      <c r="CF783" s="3">
        <v>45939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"080068372574"</f>
        <v>080068372574</v>
      </c>
      <c r="F784" s="3">
        <v>45937</v>
      </c>
      <c r="G784">
        <v>202607</v>
      </c>
      <c r="H784" t="s">
        <v>79</v>
      </c>
      <c r="I784" t="s">
        <v>80</v>
      </c>
      <c r="J784" t="s">
        <v>91</v>
      </c>
      <c r="K784" t="s">
        <v>78</v>
      </c>
      <c r="L784" t="s">
        <v>1079</v>
      </c>
      <c r="M784" t="s">
        <v>1080</v>
      </c>
      <c r="N784" t="s">
        <v>1081</v>
      </c>
      <c r="O784" t="s">
        <v>82</v>
      </c>
      <c r="P784" t="str">
        <f>"4170063316                    "</f>
        <v xml:space="preserve">4170063316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43.31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16.739999999999998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154.21</v>
      </c>
      <c r="BM784">
        <v>23.13</v>
      </c>
      <c r="BN784">
        <v>177.34</v>
      </c>
      <c r="BO784">
        <v>177.34</v>
      </c>
      <c r="BQ784" t="s">
        <v>1082</v>
      </c>
      <c r="BR784" t="s">
        <v>97</v>
      </c>
      <c r="BS784" s="3">
        <v>45938</v>
      </c>
      <c r="BT784" s="4">
        <v>0.53194444444444444</v>
      </c>
      <c r="BU784" t="s">
        <v>1526</v>
      </c>
      <c r="BV784" t="s">
        <v>86</v>
      </c>
      <c r="BY784">
        <v>1200</v>
      </c>
      <c r="BZ784" t="s">
        <v>30</v>
      </c>
      <c r="CA784" t="s">
        <v>1084</v>
      </c>
      <c r="CC784" t="s">
        <v>1080</v>
      </c>
      <c r="CD784">
        <v>3875</v>
      </c>
      <c r="CE784" t="s">
        <v>147</v>
      </c>
      <c r="CF784" s="3">
        <v>45938</v>
      </c>
      <c r="CI784">
        <v>2</v>
      </c>
      <c r="CJ784">
        <v>1</v>
      </c>
      <c r="CK784">
        <v>23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"080011640536"</f>
        <v>080011640536</v>
      </c>
      <c r="F785" s="3">
        <v>45937</v>
      </c>
      <c r="G785">
        <v>202607</v>
      </c>
      <c r="H785" t="s">
        <v>108</v>
      </c>
      <c r="I785" t="s">
        <v>109</v>
      </c>
      <c r="J785" t="s">
        <v>1527</v>
      </c>
      <c r="K785" t="s">
        <v>78</v>
      </c>
      <c r="L785" t="s">
        <v>79</v>
      </c>
      <c r="M785" t="s">
        <v>80</v>
      </c>
      <c r="N785" t="s">
        <v>81</v>
      </c>
      <c r="O785" t="s">
        <v>82</v>
      </c>
      <c r="P785" t="str">
        <f>"Incorrect items - Gift        "</f>
        <v xml:space="preserve">Incorrect items - Gift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55.86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3</v>
      </c>
      <c r="BJ785">
        <v>4.8</v>
      </c>
      <c r="BK785">
        <v>5</v>
      </c>
      <c r="BL785">
        <v>177.3</v>
      </c>
      <c r="BM785">
        <v>26.6</v>
      </c>
      <c r="BN785">
        <v>203.9</v>
      </c>
      <c r="BO785">
        <v>203.9</v>
      </c>
      <c r="BQ785" t="s">
        <v>83</v>
      </c>
      <c r="BR785" t="s">
        <v>1528</v>
      </c>
      <c r="BS785" s="3">
        <v>45939</v>
      </c>
      <c r="BT785" s="4">
        <v>0.43402777777777779</v>
      </c>
      <c r="BU785" t="s">
        <v>85</v>
      </c>
      <c r="BV785" t="s">
        <v>90</v>
      </c>
      <c r="BW785" t="s">
        <v>188</v>
      </c>
      <c r="BX785" t="s">
        <v>1529</v>
      </c>
      <c r="BY785">
        <v>24000</v>
      </c>
      <c r="BZ785" t="s">
        <v>87</v>
      </c>
      <c r="CA785" t="s">
        <v>88</v>
      </c>
      <c r="CC785" t="s">
        <v>80</v>
      </c>
      <c r="CD785">
        <v>1619</v>
      </c>
      <c r="CE785" t="s">
        <v>89</v>
      </c>
      <c r="CF785" s="3">
        <v>45939</v>
      </c>
      <c r="CI785">
        <v>1</v>
      </c>
      <c r="CJ785">
        <v>2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"080011641272"</f>
        <v>080011641272</v>
      </c>
      <c r="F786" s="3">
        <v>45937</v>
      </c>
      <c r="G786">
        <v>202607</v>
      </c>
      <c r="H786" t="s">
        <v>1095</v>
      </c>
      <c r="I786" t="s">
        <v>1096</v>
      </c>
      <c r="J786" t="s">
        <v>1530</v>
      </c>
      <c r="K786" t="s">
        <v>78</v>
      </c>
      <c r="L786" t="s">
        <v>79</v>
      </c>
      <c r="M786" t="s">
        <v>80</v>
      </c>
      <c r="N786" t="s">
        <v>81</v>
      </c>
      <c r="O786" t="s">
        <v>82</v>
      </c>
      <c r="P786" t="str">
        <f>"ZA1001417438                  "</f>
        <v xml:space="preserve">ZA1001417438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111.77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2</v>
      </c>
      <c r="BI786">
        <v>5.0999999999999996</v>
      </c>
      <c r="BJ786">
        <v>2.2000000000000002</v>
      </c>
      <c r="BK786">
        <v>5.5</v>
      </c>
      <c r="BL786">
        <v>354.75</v>
      </c>
      <c r="BM786">
        <v>53.21</v>
      </c>
      <c r="BN786">
        <v>407.96</v>
      </c>
      <c r="BO786">
        <v>407.96</v>
      </c>
      <c r="BQ786" t="s">
        <v>83</v>
      </c>
      <c r="BR786" t="s">
        <v>1531</v>
      </c>
      <c r="BS786" s="3">
        <v>45938</v>
      </c>
      <c r="BT786" s="4">
        <v>0.36736111111111114</v>
      </c>
      <c r="BU786" t="s">
        <v>85</v>
      </c>
      <c r="BV786" t="s">
        <v>86</v>
      </c>
      <c r="BY786">
        <v>10754.43</v>
      </c>
      <c r="BZ786" t="s">
        <v>87</v>
      </c>
      <c r="CA786" t="s">
        <v>88</v>
      </c>
      <c r="CC786" t="s">
        <v>80</v>
      </c>
      <c r="CD786">
        <v>1619</v>
      </c>
      <c r="CE786" t="s">
        <v>101</v>
      </c>
      <c r="CF786" s="3">
        <v>45938</v>
      </c>
      <c r="CI786">
        <v>1</v>
      </c>
      <c r="CJ786">
        <v>1</v>
      </c>
      <c r="CK786">
        <v>23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"080011641282"</f>
        <v>080011641282</v>
      </c>
      <c r="F787" s="3">
        <v>45937</v>
      </c>
      <c r="G787">
        <v>202607</v>
      </c>
      <c r="H787" t="s">
        <v>271</v>
      </c>
      <c r="I787" t="s">
        <v>272</v>
      </c>
      <c r="J787" t="s">
        <v>1532</v>
      </c>
      <c r="K787" t="s">
        <v>78</v>
      </c>
      <c r="L787" t="s">
        <v>79</v>
      </c>
      <c r="M787" t="s">
        <v>80</v>
      </c>
      <c r="N787" t="s">
        <v>81</v>
      </c>
      <c r="O787" t="s">
        <v>82</v>
      </c>
      <c r="P787" t="str">
        <f>"ZA1001417427                  "</f>
        <v xml:space="preserve">ZA1001417427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17.46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0.8</v>
      </c>
      <c r="BJ787">
        <v>4.5</v>
      </c>
      <c r="BK787">
        <v>5</v>
      </c>
      <c r="BL787">
        <v>55.42</v>
      </c>
      <c r="BM787">
        <v>8.31</v>
      </c>
      <c r="BN787">
        <v>63.73</v>
      </c>
      <c r="BO787">
        <v>63.73</v>
      </c>
      <c r="BQ787" t="s">
        <v>83</v>
      </c>
      <c r="BR787" t="s">
        <v>1140</v>
      </c>
      <c r="BS787" s="3">
        <v>45938</v>
      </c>
      <c r="BT787" s="4">
        <v>0.34652777777777777</v>
      </c>
      <c r="BU787" t="s">
        <v>85</v>
      </c>
      <c r="BV787" t="s">
        <v>86</v>
      </c>
      <c r="BY787">
        <v>22690.560000000001</v>
      </c>
      <c r="BZ787" t="s">
        <v>87</v>
      </c>
      <c r="CA787" t="s">
        <v>88</v>
      </c>
      <c r="CC787" t="s">
        <v>80</v>
      </c>
      <c r="CD787">
        <v>1619</v>
      </c>
      <c r="CE787" t="s">
        <v>89</v>
      </c>
      <c r="CF787" s="3">
        <v>45938</v>
      </c>
      <c r="CI787">
        <v>1</v>
      </c>
      <c r="CJ787">
        <v>1</v>
      </c>
      <c r="CK787">
        <v>22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"080011641285"</f>
        <v>080011641285</v>
      </c>
      <c r="F788" s="3">
        <v>45937</v>
      </c>
      <c r="G788">
        <v>202607</v>
      </c>
      <c r="H788" t="s">
        <v>322</v>
      </c>
      <c r="I788" t="s">
        <v>322</v>
      </c>
      <c r="J788" t="s">
        <v>1533</v>
      </c>
      <c r="K788" t="s">
        <v>78</v>
      </c>
      <c r="L788" t="s">
        <v>79</v>
      </c>
      <c r="M788" t="s">
        <v>80</v>
      </c>
      <c r="N788" t="s">
        <v>81</v>
      </c>
      <c r="O788" t="s">
        <v>82</v>
      </c>
      <c r="P788" t="str">
        <f>"ZA1001417160                  "</f>
        <v xml:space="preserve">ZA1001417160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43.31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137.47</v>
      </c>
      <c r="BM788">
        <v>20.62</v>
      </c>
      <c r="BN788">
        <v>158.09</v>
      </c>
      <c r="BO788">
        <v>158.09</v>
      </c>
      <c r="BQ788" t="s">
        <v>83</v>
      </c>
      <c r="BR788" t="s">
        <v>1534</v>
      </c>
      <c r="BS788" s="3">
        <v>45938</v>
      </c>
      <c r="BT788" s="4">
        <v>0.40902777777777777</v>
      </c>
      <c r="BU788" t="s">
        <v>85</v>
      </c>
      <c r="BV788" t="s">
        <v>86</v>
      </c>
      <c r="BY788">
        <v>1200</v>
      </c>
      <c r="BZ788" t="s">
        <v>87</v>
      </c>
      <c r="CA788" t="s">
        <v>88</v>
      </c>
      <c r="CC788" t="s">
        <v>80</v>
      </c>
      <c r="CD788">
        <v>1619</v>
      </c>
      <c r="CE788" t="s">
        <v>89</v>
      </c>
      <c r="CF788" s="3">
        <v>45938</v>
      </c>
      <c r="CI788">
        <v>1</v>
      </c>
      <c r="CJ788">
        <v>1</v>
      </c>
      <c r="CK788">
        <v>23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"080068372821"</f>
        <v>080068372821</v>
      </c>
      <c r="F789" s="3">
        <v>45937</v>
      </c>
      <c r="G789">
        <v>202607</v>
      </c>
      <c r="H789" t="s">
        <v>79</v>
      </c>
      <c r="I789" t="s">
        <v>80</v>
      </c>
      <c r="J789" t="s">
        <v>91</v>
      </c>
      <c r="K789" t="s">
        <v>78</v>
      </c>
      <c r="L789" t="s">
        <v>108</v>
      </c>
      <c r="M789" t="s">
        <v>109</v>
      </c>
      <c r="N789" t="s">
        <v>751</v>
      </c>
      <c r="O789" t="s">
        <v>82</v>
      </c>
      <c r="P789" t="str">
        <f>"4170063423                    "</f>
        <v xml:space="preserve">4170063423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22.36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70.959999999999994</v>
      </c>
      <c r="BM789">
        <v>10.64</v>
      </c>
      <c r="BN789">
        <v>81.599999999999994</v>
      </c>
      <c r="BO789">
        <v>81.599999999999994</v>
      </c>
      <c r="BQ789" t="s">
        <v>752</v>
      </c>
      <c r="BR789" t="s">
        <v>97</v>
      </c>
      <c r="BS789" s="3">
        <v>45938</v>
      </c>
      <c r="BT789" s="4">
        <v>0.35347222222222224</v>
      </c>
      <c r="BU789" t="s">
        <v>1274</v>
      </c>
      <c r="BV789" t="s">
        <v>86</v>
      </c>
      <c r="BY789">
        <v>1200</v>
      </c>
      <c r="CA789" t="s">
        <v>1090</v>
      </c>
      <c r="CC789" t="s">
        <v>109</v>
      </c>
      <c r="CD789">
        <v>6001</v>
      </c>
      <c r="CE789" t="s">
        <v>147</v>
      </c>
      <c r="CF789" s="3">
        <v>45938</v>
      </c>
      <c r="CI789">
        <v>1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"080068372845"</f>
        <v>080068372845</v>
      </c>
      <c r="F790" s="3">
        <v>45937</v>
      </c>
      <c r="G790">
        <v>202607</v>
      </c>
      <c r="H790" t="s">
        <v>79</v>
      </c>
      <c r="I790" t="s">
        <v>80</v>
      </c>
      <c r="J790" t="s">
        <v>91</v>
      </c>
      <c r="K790" t="s">
        <v>78</v>
      </c>
      <c r="L790" t="s">
        <v>206</v>
      </c>
      <c r="M790" t="s">
        <v>207</v>
      </c>
      <c r="N790" t="s">
        <v>458</v>
      </c>
      <c r="O790" t="s">
        <v>82</v>
      </c>
      <c r="P790" t="str">
        <f>"4170063331                    "</f>
        <v xml:space="preserve">4170063331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22.36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70.959999999999994</v>
      </c>
      <c r="BM790">
        <v>10.64</v>
      </c>
      <c r="BN790">
        <v>81.599999999999994</v>
      </c>
      <c r="BO790">
        <v>81.599999999999994</v>
      </c>
      <c r="BQ790" t="s">
        <v>459</v>
      </c>
      <c r="BR790" t="s">
        <v>97</v>
      </c>
      <c r="BS790" s="3">
        <v>45938</v>
      </c>
      <c r="BT790" s="4">
        <v>0.45833333333333331</v>
      </c>
      <c r="BU790" t="s">
        <v>1396</v>
      </c>
      <c r="BV790" t="s">
        <v>90</v>
      </c>
      <c r="BW790" t="s">
        <v>347</v>
      </c>
      <c r="BX790" t="s">
        <v>1038</v>
      </c>
      <c r="BY790">
        <v>1200</v>
      </c>
      <c r="CA790" t="s">
        <v>461</v>
      </c>
      <c r="CC790" t="s">
        <v>207</v>
      </c>
      <c r="CD790">
        <v>7530</v>
      </c>
      <c r="CE790" t="s">
        <v>147</v>
      </c>
      <c r="CF790" s="3">
        <v>45939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"080068373054"</f>
        <v>080068373054</v>
      </c>
      <c r="F791" s="3">
        <v>45937</v>
      </c>
      <c r="G791">
        <v>202607</v>
      </c>
      <c r="H791" t="s">
        <v>79</v>
      </c>
      <c r="I791" t="s">
        <v>80</v>
      </c>
      <c r="J791" t="s">
        <v>91</v>
      </c>
      <c r="K791" t="s">
        <v>78</v>
      </c>
      <c r="L791" t="s">
        <v>218</v>
      </c>
      <c r="M791" t="s">
        <v>219</v>
      </c>
      <c r="N791" t="s">
        <v>898</v>
      </c>
      <c r="O791" t="s">
        <v>226</v>
      </c>
      <c r="P791" t="str">
        <f>"4170063377                    "</f>
        <v xml:space="preserve">4170063377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17.47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4</v>
      </c>
      <c r="BJ791">
        <v>3.4</v>
      </c>
      <c r="BK791">
        <v>4</v>
      </c>
      <c r="BL791">
        <v>55.44</v>
      </c>
      <c r="BM791">
        <v>8.32</v>
      </c>
      <c r="BN791">
        <v>63.76</v>
      </c>
      <c r="BO791">
        <v>63.76</v>
      </c>
      <c r="BQ791" t="s">
        <v>899</v>
      </c>
      <c r="BR791" t="s">
        <v>97</v>
      </c>
      <c r="BS791" s="3">
        <v>45938</v>
      </c>
      <c r="BT791" s="4">
        <v>0.33333333333333331</v>
      </c>
      <c r="BU791" t="s">
        <v>1535</v>
      </c>
      <c r="BV791" t="s">
        <v>86</v>
      </c>
      <c r="BY791">
        <v>16965</v>
      </c>
      <c r="CA791" t="s">
        <v>1434</v>
      </c>
      <c r="CC791" t="s">
        <v>219</v>
      </c>
      <c r="CD791">
        <v>1559</v>
      </c>
      <c r="CE791" t="s">
        <v>191</v>
      </c>
      <c r="CF791" s="3">
        <v>45939</v>
      </c>
      <c r="CI791">
        <v>1</v>
      </c>
      <c r="CJ791">
        <v>1</v>
      </c>
      <c r="CK791">
        <v>32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"080068373132"</f>
        <v>080068373132</v>
      </c>
      <c r="F792" s="3">
        <v>45937</v>
      </c>
      <c r="G792">
        <v>202607</v>
      </c>
      <c r="H792" t="s">
        <v>79</v>
      </c>
      <c r="I792" t="s">
        <v>80</v>
      </c>
      <c r="J792" t="s">
        <v>91</v>
      </c>
      <c r="K792" t="s">
        <v>78</v>
      </c>
      <c r="L792" t="s">
        <v>92</v>
      </c>
      <c r="M792" t="s">
        <v>93</v>
      </c>
      <c r="N792" t="s">
        <v>94</v>
      </c>
      <c r="O792" t="s">
        <v>95</v>
      </c>
      <c r="P792" t="str">
        <f>"4170063413                    "</f>
        <v xml:space="preserve">4170063413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94.99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2</v>
      </c>
      <c r="BI792">
        <v>38</v>
      </c>
      <c r="BJ792">
        <v>43.9</v>
      </c>
      <c r="BK792">
        <v>44</v>
      </c>
      <c r="BL792">
        <v>307.36</v>
      </c>
      <c r="BM792">
        <v>46.1</v>
      </c>
      <c r="BN792">
        <v>353.46</v>
      </c>
      <c r="BO792">
        <v>353.46</v>
      </c>
      <c r="BQ792" t="s">
        <v>96</v>
      </c>
      <c r="BR792" t="s">
        <v>97</v>
      </c>
      <c r="BS792" s="3">
        <v>45938</v>
      </c>
      <c r="BT792" s="4">
        <v>0.42708333333333331</v>
      </c>
      <c r="BU792" t="s">
        <v>1520</v>
      </c>
      <c r="BV792" t="s">
        <v>86</v>
      </c>
      <c r="BY792">
        <v>219255</v>
      </c>
      <c r="CA792" t="s">
        <v>1494</v>
      </c>
      <c r="CC792" t="s">
        <v>93</v>
      </c>
      <c r="CD792">
        <v>3201</v>
      </c>
      <c r="CE792" t="s">
        <v>975</v>
      </c>
      <c r="CF792" s="3">
        <v>45939</v>
      </c>
      <c r="CI792">
        <v>2</v>
      </c>
      <c r="CJ792">
        <v>1</v>
      </c>
      <c r="CK792">
        <v>41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"080068373219"</f>
        <v>080068373219</v>
      </c>
      <c r="F793" s="3">
        <v>45937</v>
      </c>
      <c r="G793">
        <v>202607</v>
      </c>
      <c r="H793" t="s">
        <v>79</v>
      </c>
      <c r="I793" t="s">
        <v>80</v>
      </c>
      <c r="J793" t="s">
        <v>91</v>
      </c>
      <c r="K793" t="s">
        <v>78</v>
      </c>
      <c r="L793" t="s">
        <v>79</v>
      </c>
      <c r="M793" t="s">
        <v>80</v>
      </c>
      <c r="N793" t="s">
        <v>577</v>
      </c>
      <c r="O793" t="s">
        <v>82</v>
      </c>
      <c r="P793" t="str">
        <f>"4170063410                    "</f>
        <v xml:space="preserve">4170063410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17.46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1.1000000000000001</v>
      </c>
      <c r="BK793">
        <v>2</v>
      </c>
      <c r="BL793">
        <v>55.42</v>
      </c>
      <c r="BM793">
        <v>8.31</v>
      </c>
      <c r="BN793">
        <v>63.73</v>
      </c>
      <c r="BO793">
        <v>63.73</v>
      </c>
      <c r="BQ793" t="s">
        <v>578</v>
      </c>
      <c r="BR793" t="s">
        <v>97</v>
      </c>
      <c r="BS793" s="3">
        <v>45938</v>
      </c>
      <c r="BT793" s="4">
        <v>0.38750000000000001</v>
      </c>
      <c r="BU793" t="s">
        <v>1536</v>
      </c>
      <c r="BV793" t="s">
        <v>86</v>
      </c>
      <c r="BY793">
        <v>5510</v>
      </c>
      <c r="CA793" t="s">
        <v>580</v>
      </c>
      <c r="CC793" t="s">
        <v>80</v>
      </c>
      <c r="CD793">
        <v>1619</v>
      </c>
      <c r="CE793" t="s">
        <v>191</v>
      </c>
      <c r="CF793" s="3">
        <v>45938</v>
      </c>
      <c r="CI793">
        <v>1</v>
      </c>
      <c r="CJ793">
        <v>1</v>
      </c>
      <c r="CK793">
        <v>22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"080068373248"</f>
        <v>080068373248</v>
      </c>
      <c r="F794" s="3">
        <v>45937</v>
      </c>
      <c r="G794">
        <v>202607</v>
      </c>
      <c r="H794" t="s">
        <v>79</v>
      </c>
      <c r="I794" t="s">
        <v>80</v>
      </c>
      <c r="J794" t="s">
        <v>91</v>
      </c>
      <c r="K794" t="s">
        <v>78</v>
      </c>
      <c r="L794" t="s">
        <v>322</v>
      </c>
      <c r="M794" t="s">
        <v>322</v>
      </c>
      <c r="N794" t="s">
        <v>483</v>
      </c>
      <c r="O794" t="s">
        <v>82</v>
      </c>
      <c r="P794" t="str">
        <f>"4170063208                    "</f>
        <v xml:space="preserve">4170063208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43.31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2</v>
      </c>
      <c r="BJ794">
        <v>1.8</v>
      </c>
      <c r="BK794">
        <v>2</v>
      </c>
      <c r="BL794">
        <v>137.47</v>
      </c>
      <c r="BM794">
        <v>20.62</v>
      </c>
      <c r="BN794">
        <v>158.09</v>
      </c>
      <c r="BO794">
        <v>158.09</v>
      </c>
      <c r="BQ794" t="s">
        <v>486</v>
      </c>
      <c r="BR794" t="s">
        <v>97</v>
      </c>
      <c r="BS794" s="3">
        <v>45938</v>
      </c>
      <c r="BT794" s="4">
        <v>0.54027777777777775</v>
      </c>
      <c r="BU794" t="s">
        <v>485</v>
      </c>
      <c r="BV794" t="s">
        <v>86</v>
      </c>
      <c r="BY794">
        <v>8816</v>
      </c>
      <c r="CA794" t="s">
        <v>326</v>
      </c>
      <c r="CC794" t="s">
        <v>322</v>
      </c>
      <c r="CD794">
        <v>7646</v>
      </c>
      <c r="CE794" t="s">
        <v>191</v>
      </c>
      <c r="CF794" s="3">
        <v>45939</v>
      </c>
      <c r="CI794">
        <v>1</v>
      </c>
      <c r="CJ794">
        <v>1</v>
      </c>
      <c r="CK794">
        <v>23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"080068373520"</f>
        <v>080068373520</v>
      </c>
      <c r="F795" s="3">
        <v>45937</v>
      </c>
      <c r="G795">
        <v>202607</v>
      </c>
      <c r="H795" t="s">
        <v>79</v>
      </c>
      <c r="I795" t="s">
        <v>80</v>
      </c>
      <c r="J795" t="s">
        <v>91</v>
      </c>
      <c r="K795" t="s">
        <v>78</v>
      </c>
      <c r="L795" t="s">
        <v>446</v>
      </c>
      <c r="M795" t="s">
        <v>447</v>
      </c>
      <c r="N795" t="s">
        <v>448</v>
      </c>
      <c r="O795" t="s">
        <v>82</v>
      </c>
      <c r="P795" t="str">
        <f>"4170063332                    "</f>
        <v xml:space="preserve">4170063332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43.31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137.47</v>
      </c>
      <c r="BM795">
        <v>20.62</v>
      </c>
      <c r="BN795">
        <v>158.09</v>
      </c>
      <c r="BO795">
        <v>158.09</v>
      </c>
      <c r="BQ795" t="s">
        <v>449</v>
      </c>
      <c r="BR795" t="s">
        <v>97</v>
      </c>
      <c r="BS795" s="3">
        <v>45938</v>
      </c>
      <c r="BT795" s="4">
        <v>0.53472222222222221</v>
      </c>
      <c r="BU795" t="s">
        <v>1537</v>
      </c>
      <c r="BV795" t="s">
        <v>86</v>
      </c>
      <c r="BY795">
        <v>1200</v>
      </c>
      <c r="CA795" t="s">
        <v>1124</v>
      </c>
      <c r="CC795" t="s">
        <v>447</v>
      </c>
      <c r="CD795">
        <v>7130</v>
      </c>
      <c r="CE795" t="s">
        <v>147</v>
      </c>
      <c r="CF795" s="3">
        <v>45939</v>
      </c>
      <c r="CI795">
        <v>1</v>
      </c>
      <c r="CJ795">
        <v>1</v>
      </c>
      <c r="CK795">
        <v>23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"080068373554"</f>
        <v>080068373554</v>
      </c>
      <c r="F796" s="3">
        <v>45937</v>
      </c>
      <c r="G796">
        <v>202607</v>
      </c>
      <c r="H796" t="s">
        <v>79</v>
      </c>
      <c r="I796" t="s">
        <v>80</v>
      </c>
      <c r="J796" t="s">
        <v>91</v>
      </c>
      <c r="K796" t="s">
        <v>78</v>
      </c>
      <c r="L796" t="s">
        <v>121</v>
      </c>
      <c r="M796" t="s">
        <v>122</v>
      </c>
      <c r="N796" t="s">
        <v>123</v>
      </c>
      <c r="O796" t="s">
        <v>82</v>
      </c>
      <c r="P796" t="str">
        <f>"4170063289                    "</f>
        <v xml:space="preserve">4170063289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134.04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12</v>
      </c>
      <c r="BJ796">
        <v>9.5</v>
      </c>
      <c r="BK796">
        <v>12</v>
      </c>
      <c r="BL796">
        <v>425.44</v>
      </c>
      <c r="BM796">
        <v>63.82</v>
      </c>
      <c r="BN796">
        <v>489.26</v>
      </c>
      <c r="BO796">
        <v>489.26</v>
      </c>
      <c r="BQ796" t="s">
        <v>124</v>
      </c>
      <c r="BR796" t="s">
        <v>97</v>
      </c>
      <c r="BS796" s="3">
        <v>45938</v>
      </c>
      <c r="BT796" s="4">
        <v>0.35138888888888886</v>
      </c>
      <c r="BU796" t="s">
        <v>927</v>
      </c>
      <c r="BV796" t="s">
        <v>86</v>
      </c>
      <c r="BY796">
        <v>47705</v>
      </c>
      <c r="CA796" t="s">
        <v>758</v>
      </c>
      <c r="CC796" t="s">
        <v>122</v>
      </c>
      <c r="CD796">
        <v>4051</v>
      </c>
      <c r="CE796" t="s">
        <v>191</v>
      </c>
      <c r="CF796" s="3">
        <v>45938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"080068373575"</f>
        <v>080068373575</v>
      </c>
      <c r="F797" s="3">
        <v>45937</v>
      </c>
      <c r="G797">
        <v>202607</v>
      </c>
      <c r="H797" t="s">
        <v>79</v>
      </c>
      <c r="I797" t="s">
        <v>80</v>
      </c>
      <c r="J797" t="s">
        <v>91</v>
      </c>
      <c r="K797" t="s">
        <v>78</v>
      </c>
      <c r="L797" t="s">
        <v>1095</v>
      </c>
      <c r="M797" t="s">
        <v>1096</v>
      </c>
      <c r="N797" t="s">
        <v>1538</v>
      </c>
      <c r="O797" t="s">
        <v>82</v>
      </c>
      <c r="P797" t="str">
        <f>"4170063441                    "</f>
        <v xml:space="preserve">4170063441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43.31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137.47</v>
      </c>
      <c r="BM797">
        <v>20.62</v>
      </c>
      <c r="BN797">
        <v>158.09</v>
      </c>
      <c r="BO797">
        <v>158.09</v>
      </c>
      <c r="BQ797" t="s">
        <v>1539</v>
      </c>
      <c r="BR797" t="s">
        <v>97</v>
      </c>
      <c r="BS797" s="3">
        <v>45944</v>
      </c>
      <c r="BT797" s="4">
        <v>0.40902777777777777</v>
      </c>
      <c r="BU797" t="s">
        <v>1540</v>
      </c>
      <c r="BV797" t="s">
        <v>90</v>
      </c>
      <c r="BY797">
        <v>1200</v>
      </c>
      <c r="CA797" t="s">
        <v>1099</v>
      </c>
      <c r="CC797" t="s">
        <v>1096</v>
      </c>
      <c r="CD797">
        <v>2302</v>
      </c>
      <c r="CE797" t="s">
        <v>147</v>
      </c>
      <c r="CF797" s="3">
        <v>45944</v>
      </c>
      <c r="CI797">
        <v>1</v>
      </c>
      <c r="CJ797">
        <v>5</v>
      </c>
      <c r="CK797">
        <v>23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"080068373633"</f>
        <v>080068373633</v>
      </c>
      <c r="F798" s="3">
        <v>45937</v>
      </c>
      <c r="G798">
        <v>202607</v>
      </c>
      <c r="H798" t="s">
        <v>79</v>
      </c>
      <c r="I798" t="s">
        <v>80</v>
      </c>
      <c r="J798" t="s">
        <v>91</v>
      </c>
      <c r="K798" t="s">
        <v>78</v>
      </c>
      <c r="L798" t="s">
        <v>168</v>
      </c>
      <c r="M798" t="s">
        <v>169</v>
      </c>
      <c r="N798" t="s">
        <v>1541</v>
      </c>
      <c r="O798" t="s">
        <v>82</v>
      </c>
      <c r="P798" t="str">
        <f>"4170063276                    "</f>
        <v xml:space="preserve">4170063276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22.36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70.959999999999994</v>
      </c>
      <c r="BM798">
        <v>10.64</v>
      </c>
      <c r="BN798">
        <v>81.599999999999994</v>
      </c>
      <c r="BO798">
        <v>81.599999999999994</v>
      </c>
      <c r="BQ798" t="s">
        <v>1542</v>
      </c>
      <c r="BR798" t="s">
        <v>97</v>
      </c>
      <c r="BS798" s="3">
        <v>45938</v>
      </c>
      <c r="BT798" s="4">
        <v>0.41111111111111109</v>
      </c>
      <c r="BU798" t="s">
        <v>1543</v>
      </c>
      <c r="BV798" t="s">
        <v>86</v>
      </c>
      <c r="BY798">
        <v>1200</v>
      </c>
      <c r="CA798" t="s">
        <v>1544</v>
      </c>
      <c r="CC798" t="s">
        <v>169</v>
      </c>
      <c r="CD798" s="5" t="s">
        <v>173</v>
      </c>
      <c r="CE798" t="s">
        <v>147</v>
      </c>
      <c r="CF798" s="3">
        <v>45938</v>
      </c>
      <c r="CI798">
        <v>1</v>
      </c>
      <c r="CJ798">
        <v>1</v>
      </c>
      <c r="CK798">
        <v>21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"080068373652"</f>
        <v>080068373652</v>
      </c>
      <c r="F799" s="3">
        <v>45937</v>
      </c>
      <c r="G799">
        <v>202607</v>
      </c>
      <c r="H799" t="s">
        <v>79</v>
      </c>
      <c r="I799" t="s">
        <v>80</v>
      </c>
      <c r="J799" t="s">
        <v>91</v>
      </c>
      <c r="K799" t="s">
        <v>78</v>
      </c>
      <c r="L799" t="s">
        <v>79</v>
      </c>
      <c r="M799" t="s">
        <v>80</v>
      </c>
      <c r="N799" t="s">
        <v>577</v>
      </c>
      <c r="O799" t="s">
        <v>226</v>
      </c>
      <c r="P799" t="str">
        <f>"4170063380                    "</f>
        <v xml:space="preserve">4170063380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23.35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3</v>
      </c>
      <c r="BJ799">
        <v>10.8</v>
      </c>
      <c r="BK799">
        <v>11</v>
      </c>
      <c r="BL799">
        <v>74.099999999999994</v>
      </c>
      <c r="BM799">
        <v>11.12</v>
      </c>
      <c r="BN799">
        <v>85.22</v>
      </c>
      <c r="BO799">
        <v>85.22</v>
      </c>
      <c r="BQ799" t="s">
        <v>578</v>
      </c>
      <c r="BR799" t="s">
        <v>97</v>
      </c>
      <c r="BS799" s="3">
        <v>45938</v>
      </c>
      <c r="BT799" s="4">
        <v>0.38750000000000001</v>
      </c>
      <c r="BU799" t="s">
        <v>1536</v>
      </c>
      <c r="BV799" t="s">
        <v>86</v>
      </c>
      <c r="BY799">
        <v>54080</v>
      </c>
      <c r="CA799" t="s">
        <v>580</v>
      </c>
      <c r="CC799" t="s">
        <v>80</v>
      </c>
      <c r="CD799">
        <v>1619</v>
      </c>
      <c r="CE799" t="s">
        <v>107</v>
      </c>
      <c r="CF799" s="3">
        <v>45938</v>
      </c>
      <c r="CI799">
        <v>1</v>
      </c>
      <c r="CJ799">
        <v>1</v>
      </c>
      <c r="CK799">
        <v>32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"080068373676"</f>
        <v>080068373676</v>
      </c>
      <c r="F800" s="3">
        <v>45937</v>
      </c>
      <c r="G800">
        <v>202607</v>
      </c>
      <c r="H800" t="s">
        <v>79</v>
      </c>
      <c r="I800" t="s">
        <v>80</v>
      </c>
      <c r="J800" t="s">
        <v>91</v>
      </c>
      <c r="K800" t="s">
        <v>78</v>
      </c>
      <c r="L800" t="s">
        <v>446</v>
      </c>
      <c r="M800" t="s">
        <v>447</v>
      </c>
      <c r="N800" t="s">
        <v>448</v>
      </c>
      <c r="O800" t="s">
        <v>82</v>
      </c>
      <c r="P800" t="str">
        <f>"4170063315                    "</f>
        <v xml:space="preserve">4170063315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43.31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137.47</v>
      </c>
      <c r="BM800">
        <v>20.62</v>
      </c>
      <c r="BN800">
        <v>158.09</v>
      </c>
      <c r="BO800">
        <v>158.09</v>
      </c>
      <c r="BQ800" t="s">
        <v>449</v>
      </c>
      <c r="BR800" t="s">
        <v>97</v>
      </c>
      <c r="BS800" s="3">
        <v>45938</v>
      </c>
      <c r="BT800" s="4">
        <v>0.53472222222222221</v>
      </c>
      <c r="BU800" t="s">
        <v>1537</v>
      </c>
      <c r="BV800" t="s">
        <v>86</v>
      </c>
      <c r="BY800">
        <v>1200</v>
      </c>
      <c r="CA800" t="s">
        <v>1124</v>
      </c>
      <c r="CC800" t="s">
        <v>447</v>
      </c>
      <c r="CD800">
        <v>7130</v>
      </c>
      <c r="CE800" t="s">
        <v>147</v>
      </c>
      <c r="CF800" s="3">
        <v>45939</v>
      </c>
      <c r="CI800">
        <v>1</v>
      </c>
      <c r="CJ800">
        <v>1</v>
      </c>
      <c r="CK800">
        <v>23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"080068373712"</f>
        <v>080068373712</v>
      </c>
      <c r="F801" s="3">
        <v>45937</v>
      </c>
      <c r="G801">
        <v>202607</v>
      </c>
      <c r="H801" t="s">
        <v>79</v>
      </c>
      <c r="I801" t="s">
        <v>80</v>
      </c>
      <c r="J801" t="s">
        <v>91</v>
      </c>
      <c r="K801" t="s">
        <v>78</v>
      </c>
      <c r="L801" t="s">
        <v>148</v>
      </c>
      <c r="M801" t="s">
        <v>149</v>
      </c>
      <c r="N801" t="s">
        <v>465</v>
      </c>
      <c r="O801" t="s">
        <v>82</v>
      </c>
      <c r="P801" t="str">
        <f>"4170063400                    "</f>
        <v xml:space="preserve">4170063400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17.46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1.8</v>
      </c>
      <c r="BK801">
        <v>2</v>
      </c>
      <c r="BL801">
        <v>55.42</v>
      </c>
      <c r="BM801">
        <v>8.31</v>
      </c>
      <c r="BN801">
        <v>63.73</v>
      </c>
      <c r="BO801">
        <v>63.73</v>
      </c>
      <c r="BQ801" t="s">
        <v>466</v>
      </c>
      <c r="BR801" t="s">
        <v>97</v>
      </c>
      <c r="BS801" s="3">
        <v>45938</v>
      </c>
      <c r="BT801" s="4">
        <v>0.42083333333333334</v>
      </c>
      <c r="BU801" t="s">
        <v>1467</v>
      </c>
      <c r="BV801" t="s">
        <v>86</v>
      </c>
      <c r="BY801">
        <v>8816</v>
      </c>
      <c r="CA801" t="s">
        <v>1408</v>
      </c>
      <c r="CC801" t="s">
        <v>149</v>
      </c>
      <c r="CD801">
        <v>2094</v>
      </c>
      <c r="CE801" t="s">
        <v>191</v>
      </c>
      <c r="CF801" s="3">
        <v>45938</v>
      </c>
      <c r="CI801">
        <v>1</v>
      </c>
      <c r="CJ801">
        <v>1</v>
      </c>
      <c r="CK801">
        <v>22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"080068373718"</f>
        <v>080068373718</v>
      </c>
      <c r="F802" s="3">
        <v>45937</v>
      </c>
      <c r="G802">
        <v>202607</v>
      </c>
      <c r="H802" t="s">
        <v>79</v>
      </c>
      <c r="I802" t="s">
        <v>80</v>
      </c>
      <c r="J802" t="s">
        <v>91</v>
      </c>
      <c r="K802" t="s">
        <v>78</v>
      </c>
      <c r="L802" t="s">
        <v>121</v>
      </c>
      <c r="M802" t="s">
        <v>122</v>
      </c>
      <c r="N802" t="s">
        <v>707</v>
      </c>
      <c r="O802" t="s">
        <v>82</v>
      </c>
      <c r="P802" t="str">
        <f>"4170063345                    "</f>
        <v xml:space="preserve">4170063345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22.36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70.959999999999994</v>
      </c>
      <c r="BM802">
        <v>10.64</v>
      </c>
      <c r="BN802">
        <v>81.599999999999994</v>
      </c>
      <c r="BO802">
        <v>81.599999999999994</v>
      </c>
      <c r="BQ802" t="s">
        <v>708</v>
      </c>
      <c r="BR802" t="s">
        <v>97</v>
      </c>
      <c r="BS802" s="3">
        <v>45938</v>
      </c>
      <c r="BT802" s="4">
        <v>0.44444444444444442</v>
      </c>
      <c r="BU802" t="s">
        <v>709</v>
      </c>
      <c r="BV802" t="s">
        <v>86</v>
      </c>
      <c r="BY802">
        <v>1200</v>
      </c>
      <c r="CA802" t="s">
        <v>651</v>
      </c>
      <c r="CC802" t="s">
        <v>122</v>
      </c>
      <c r="CD802">
        <v>4001</v>
      </c>
      <c r="CE802" t="s">
        <v>147</v>
      </c>
      <c r="CF802" s="3">
        <v>45939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"080068373759"</f>
        <v>080068373759</v>
      </c>
      <c r="F803" s="3">
        <v>45937</v>
      </c>
      <c r="G803">
        <v>202607</v>
      </c>
      <c r="H803" t="s">
        <v>79</v>
      </c>
      <c r="I803" t="s">
        <v>80</v>
      </c>
      <c r="J803" t="s">
        <v>91</v>
      </c>
      <c r="K803" t="s">
        <v>78</v>
      </c>
      <c r="L803" t="s">
        <v>206</v>
      </c>
      <c r="M803" t="s">
        <v>207</v>
      </c>
      <c r="N803" t="s">
        <v>427</v>
      </c>
      <c r="O803" t="s">
        <v>82</v>
      </c>
      <c r="P803" t="str">
        <f>"4170063178                    "</f>
        <v xml:space="preserve">4170063178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22.36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70.959999999999994</v>
      </c>
      <c r="BM803">
        <v>10.64</v>
      </c>
      <c r="BN803">
        <v>81.599999999999994</v>
      </c>
      <c r="BO803">
        <v>81.599999999999994</v>
      </c>
      <c r="BQ803" t="s">
        <v>428</v>
      </c>
      <c r="BR803" t="s">
        <v>97</v>
      </c>
      <c r="BS803" s="3">
        <v>45938</v>
      </c>
      <c r="BT803" s="4">
        <v>0.41666666666666669</v>
      </c>
      <c r="BU803" t="s">
        <v>1545</v>
      </c>
      <c r="BV803" t="s">
        <v>86</v>
      </c>
      <c r="BY803">
        <v>1200</v>
      </c>
      <c r="CA803" t="s">
        <v>423</v>
      </c>
      <c r="CC803" t="s">
        <v>207</v>
      </c>
      <c r="CD803">
        <v>7530</v>
      </c>
      <c r="CE803" t="s">
        <v>147</v>
      </c>
      <c r="CF803" s="3">
        <v>45939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"080068373784"</f>
        <v>080068373784</v>
      </c>
      <c r="F804" s="3">
        <v>45937</v>
      </c>
      <c r="G804">
        <v>202607</v>
      </c>
      <c r="H804" t="s">
        <v>79</v>
      </c>
      <c r="I804" t="s">
        <v>80</v>
      </c>
      <c r="J804" t="s">
        <v>91</v>
      </c>
      <c r="K804" t="s">
        <v>78</v>
      </c>
      <c r="L804" t="s">
        <v>453</v>
      </c>
      <c r="M804" t="s">
        <v>454</v>
      </c>
      <c r="N804" t="s">
        <v>1223</v>
      </c>
      <c r="O804" t="s">
        <v>82</v>
      </c>
      <c r="P804" t="str">
        <f>"4170063397                    "</f>
        <v xml:space="preserve">4170063397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22.36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1.8</v>
      </c>
      <c r="BK804">
        <v>2</v>
      </c>
      <c r="BL804">
        <v>70.959999999999994</v>
      </c>
      <c r="BM804">
        <v>10.64</v>
      </c>
      <c r="BN804">
        <v>81.599999999999994</v>
      </c>
      <c r="BO804">
        <v>81.599999999999994</v>
      </c>
      <c r="BQ804" t="s">
        <v>1224</v>
      </c>
      <c r="BR804" t="s">
        <v>97</v>
      </c>
      <c r="BS804" s="3">
        <v>45938</v>
      </c>
      <c r="BT804" s="4">
        <v>0.40833333333333333</v>
      </c>
      <c r="BU804" t="s">
        <v>1546</v>
      </c>
      <c r="BV804" t="s">
        <v>86</v>
      </c>
      <c r="BY804">
        <v>8816</v>
      </c>
      <c r="CA804" t="s">
        <v>742</v>
      </c>
      <c r="CC804" t="s">
        <v>454</v>
      </c>
      <c r="CD804">
        <v>3610</v>
      </c>
      <c r="CE804" t="s">
        <v>191</v>
      </c>
      <c r="CF804" s="3">
        <v>45939</v>
      </c>
      <c r="CI804">
        <v>1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"080068373789"</f>
        <v>080068373789</v>
      </c>
      <c r="F805" s="3">
        <v>45937</v>
      </c>
      <c r="G805">
        <v>202607</v>
      </c>
      <c r="H805" t="s">
        <v>79</v>
      </c>
      <c r="I805" t="s">
        <v>80</v>
      </c>
      <c r="J805" t="s">
        <v>91</v>
      </c>
      <c r="K805" t="s">
        <v>78</v>
      </c>
      <c r="L805" t="s">
        <v>121</v>
      </c>
      <c r="M805" t="s">
        <v>122</v>
      </c>
      <c r="N805" t="s">
        <v>1474</v>
      </c>
      <c r="O805" t="s">
        <v>82</v>
      </c>
      <c r="P805" t="str">
        <f>"4170063346                    "</f>
        <v xml:space="preserve">4170063346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22.36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70.959999999999994</v>
      </c>
      <c r="BM805">
        <v>10.64</v>
      </c>
      <c r="BN805">
        <v>81.599999999999994</v>
      </c>
      <c r="BO805">
        <v>81.599999999999994</v>
      </c>
      <c r="BQ805" t="s">
        <v>1475</v>
      </c>
      <c r="BR805" t="s">
        <v>97</v>
      </c>
      <c r="BS805" s="3">
        <v>45938</v>
      </c>
      <c r="BT805" s="4">
        <v>0.79097222222222219</v>
      </c>
      <c r="BU805" t="s">
        <v>1547</v>
      </c>
      <c r="BV805" t="s">
        <v>90</v>
      </c>
      <c r="BW805" t="s">
        <v>136</v>
      </c>
      <c r="BX805" t="s">
        <v>1222</v>
      </c>
      <c r="BY805">
        <v>1200</v>
      </c>
      <c r="CA805" t="s">
        <v>157</v>
      </c>
      <c r="CC805" t="s">
        <v>122</v>
      </c>
      <c r="CD805">
        <v>4052</v>
      </c>
      <c r="CE805" t="s">
        <v>147</v>
      </c>
      <c r="CF805" s="3">
        <v>45938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"080068373818"</f>
        <v>080068373818</v>
      </c>
      <c r="F806" s="3">
        <v>45937</v>
      </c>
      <c r="G806">
        <v>202607</v>
      </c>
      <c r="H806" t="s">
        <v>79</v>
      </c>
      <c r="I806" t="s">
        <v>80</v>
      </c>
      <c r="J806" t="s">
        <v>91</v>
      </c>
      <c r="K806" t="s">
        <v>78</v>
      </c>
      <c r="L806" t="s">
        <v>306</v>
      </c>
      <c r="M806" t="s">
        <v>307</v>
      </c>
      <c r="N806" t="s">
        <v>1413</v>
      </c>
      <c r="O806" t="s">
        <v>82</v>
      </c>
      <c r="P806" t="str">
        <f>"4170063324                    "</f>
        <v xml:space="preserve">4170063324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22.36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70.959999999999994</v>
      </c>
      <c r="BM806">
        <v>10.64</v>
      </c>
      <c r="BN806">
        <v>81.599999999999994</v>
      </c>
      <c r="BO806">
        <v>81.599999999999994</v>
      </c>
      <c r="BQ806" t="s">
        <v>1414</v>
      </c>
      <c r="BR806" t="s">
        <v>97</v>
      </c>
      <c r="BS806" s="3">
        <v>45938</v>
      </c>
      <c r="BT806" s="4">
        <v>0.7944444444444444</v>
      </c>
      <c r="BU806" t="s">
        <v>1415</v>
      </c>
      <c r="BV806" t="s">
        <v>90</v>
      </c>
      <c r="BW806" t="s">
        <v>136</v>
      </c>
      <c r="BX806" t="s">
        <v>1222</v>
      </c>
      <c r="BY806">
        <v>1200</v>
      </c>
      <c r="CA806" t="s">
        <v>157</v>
      </c>
      <c r="CC806" t="s">
        <v>307</v>
      </c>
      <c r="CD806">
        <v>4113</v>
      </c>
      <c r="CE806" t="s">
        <v>147</v>
      </c>
      <c r="CF806" s="3">
        <v>45945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"080068373843"</f>
        <v>080068373843</v>
      </c>
      <c r="F807" s="3">
        <v>45937</v>
      </c>
      <c r="G807">
        <v>202607</v>
      </c>
      <c r="H807" t="s">
        <v>79</v>
      </c>
      <c r="I807" t="s">
        <v>80</v>
      </c>
      <c r="J807" t="s">
        <v>91</v>
      </c>
      <c r="K807" t="s">
        <v>78</v>
      </c>
      <c r="L807" t="s">
        <v>446</v>
      </c>
      <c r="M807" t="s">
        <v>447</v>
      </c>
      <c r="N807" t="s">
        <v>448</v>
      </c>
      <c r="O807" t="s">
        <v>82</v>
      </c>
      <c r="P807" t="str">
        <f>"4170063384                    "</f>
        <v xml:space="preserve">4170063384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43.31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137.47</v>
      </c>
      <c r="BM807">
        <v>20.62</v>
      </c>
      <c r="BN807">
        <v>158.09</v>
      </c>
      <c r="BO807">
        <v>158.09</v>
      </c>
      <c r="BQ807" t="s">
        <v>449</v>
      </c>
      <c r="BR807" t="s">
        <v>97</v>
      </c>
      <c r="BS807" s="3">
        <v>45938</v>
      </c>
      <c r="BT807" s="4">
        <v>0.53472222222222221</v>
      </c>
      <c r="BU807" t="s">
        <v>1537</v>
      </c>
      <c r="BV807" t="s">
        <v>86</v>
      </c>
      <c r="BY807">
        <v>1200</v>
      </c>
      <c r="CA807" t="s">
        <v>1124</v>
      </c>
      <c r="CC807" t="s">
        <v>447</v>
      </c>
      <c r="CD807">
        <v>7130</v>
      </c>
      <c r="CE807" t="s">
        <v>147</v>
      </c>
      <c r="CF807" s="3">
        <v>45939</v>
      </c>
      <c r="CI807">
        <v>1</v>
      </c>
      <c r="CJ807">
        <v>1</v>
      </c>
      <c r="CK807">
        <v>23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"080068374145"</f>
        <v>080068374145</v>
      </c>
      <c r="F808" s="3">
        <v>45937</v>
      </c>
      <c r="G808">
        <v>202607</v>
      </c>
      <c r="H808" t="s">
        <v>79</v>
      </c>
      <c r="I808" t="s">
        <v>80</v>
      </c>
      <c r="J808" t="s">
        <v>91</v>
      </c>
      <c r="K808" t="s">
        <v>78</v>
      </c>
      <c r="L808" t="s">
        <v>121</v>
      </c>
      <c r="M808" t="s">
        <v>122</v>
      </c>
      <c r="N808" t="s">
        <v>154</v>
      </c>
      <c r="O808" t="s">
        <v>82</v>
      </c>
      <c r="P808" t="str">
        <f>"4170063277                    "</f>
        <v xml:space="preserve">4170063277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22.36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70.959999999999994</v>
      </c>
      <c r="BM808">
        <v>10.64</v>
      </c>
      <c r="BN808">
        <v>81.599999999999994</v>
      </c>
      <c r="BO808">
        <v>81.599999999999994</v>
      </c>
      <c r="BQ808" t="s">
        <v>155</v>
      </c>
      <c r="BR808" t="s">
        <v>97</v>
      </c>
      <c r="BS808" s="3">
        <v>45938</v>
      </c>
      <c r="BT808" s="4">
        <v>0.36249999999999999</v>
      </c>
      <c r="BU808" t="s">
        <v>1548</v>
      </c>
      <c r="BV808" t="s">
        <v>86</v>
      </c>
      <c r="BY808">
        <v>1200</v>
      </c>
      <c r="CA808" t="s">
        <v>157</v>
      </c>
      <c r="CC808" t="s">
        <v>122</v>
      </c>
      <c r="CD808">
        <v>4052</v>
      </c>
      <c r="CE808" t="s">
        <v>147</v>
      </c>
      <c r="CF808" s="3">
        <v>45938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"080068374159"</f>
        <v>080068374159</v>
      </c>
      <c r="F809" s="3">
        <v>45937</v>
      </c>
      <c r="G809">
        <v>202607</v>
      </c>
      <c r="H809" t="s">
        <v>79</v>
      </c>
      <c r="I809" t="s">
        <v>80</v>
      </c>
      <c r="J809" t="s">
        <v>91</v>
      </c>
      <c r="K809" t="s">
        <v>78</v>
      </c>
      <c r="L809" t="s">
        <v>206</v>
      </c>
      <c r="M809" t="s">
        <v>207</v>
      </c>
      <c r="N809" t="s">
        <v>1549</v>
      </c>
      <c r="O809" t="s">
        <v>82</v>
      </c>
      <c r="P809" t="str">
        <f>"4170063303                    "</f>
        <v xml:space="preserve">4170063303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22.36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70.959999999999994</v>
      </c>
      <c r="BM809">
        <v>10.64</v>
      </c>
      <c r="BN809">
        <v>81.599999999999994</v>
      </c>
      <c r="BO809">
        <v>81.599999999999994</v>
      </c>
      <c r="BQ809" t="s">
        <v>1550</v>
      </c>
      <c r="BR809" t="s">
        <v>97</v>
      </c>
      <c r="BS809" s="3">
        <v>45939</v>
      </c>
      <c r="BT809" s="4">
        <v>0.44583333333333336</v>
      </c>
      <c r="BU809" t="s">
        <v>1551</v>
      </c>
      <c r="BV809" t="s">
        <v>90</v>
      </c>
      <c r="BW809" t="s">
        <v>347</v>
      </c>
      <c r="BX809" t="s">
        <v>1038</v>
      </c>
      <c r="BY809">
        <v>1200</v>
      </c>
      <c r="CC809" t="s">
        <v>207</v>
      </c>
      <c r="CD809">
        <v>7530</v>
      </c>
      <c r="CE809" t="s">
        <v>147</v>
      </c>
      <c r="CF809" s="3">
        <v>45940</v>
      </c>
      <c r="CI809">
        <v>1</v>
      </c>
      <c r="CJ809">
        <v>2</v>
      </c>
      <c r="CK809">
        <v>21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"080068374187"</f>
        <v>080068374187</v>
      </c>
      <c r="F810" s="3">
        <v>45937</v>
      </c>
      <c r="G810">
        <v>202607</v>
      </c>
      <c r="H810" t="s">
        <v>79</v>
      </c>
      <c r="I810" t="s">
        <v>80</v>
      </c>
      <c r="J810" t="s">
        <v>91</v>
      </c>
      <c r="K810" t="s">
        <v>78</v>
      </c>
      <c r="L810" t="s">
        <v>79</v>
      </c>
      <c r="M810" t="s">
        <v>80</v>
      </c>
      <c r="N810" t="s">
        <v>577</v>
      </c>
      <c r="O810" t="s">
        <v>82</v>
      </c>
      <c r="P810" t="str">
        <f>"4170063314                    "</f>
        <v xml:space="preserve">4170063314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17.46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55.42</v>
      </c>
      <c r="BM810">
        <v>8.31</v>
      </c>
      <c r="BN810">
        <v>63.73</v>
      </c>
      <c r="BO810">
        <v>63.73</v>
      </c>
      <c r="BQ810" t="s">
        <v>578</v>
      </c>
      <c r="BR810" t="s">
        <v>97</v>
      </c>
      <c r="BS810" s="3">
        <v>45938</v>
      </c>
      <c r="BT810" s="4">
        <v>0.38750000000000001</v>
      </c>
      <c r="BU810" t="s">
        <v>1536</v>
      </c>
      <c r="BV810" t="s">
        <v>86</v>
      </c>
      <c r="BY810">
        <v>1200</v>
      </c>
      <c r="CA810" t="s">
        <v>580</v>
      </c>
      <c r="CC810" t="s">
        <v>80</v>
      </c>
      <c r="CD810">
        <v>1619</v>
      </c>
      <c r="CE810" t="s">
        <v>147</v>
      </c>
      <c r="CF810" s="3">
        <v>45938</v>
      </c>
      <c r="CI810">
        <v>1</v>
      </c>
      <c r="CJ810">
        <v>1</v>
      </c>
      <c r="CK810">
        <v>22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"080068374196"</f>
        <v>080068374196</v>
      </c>
      <c r="F811" s="3">
        <v>45937</v>
      </c>
      <c r="G811">
        <v>202607</v>
      </c>
      <c r="H811" t="s">
        <v>79</v>
      </c>
      <c r="I811" t="s">
        <v>80</v>
      </c>
      <c r="J811" t="s">
        <v>91</v>
      </c>
      <c r="K811" t="s">
        <v>78</v>
      </c>
      <c r="L811" t="s">
        <v>108</v>
      </c>
      <c r="M811" t="s">
        <v>109</v>
      </c>
      <c r="N811" t="s">
        <v>956</v>
      </c>
      <c r="O811" t="s">
        <v>82</v>
      </c>
      <c r="P811" t="str">
        <f>"4170063202                    "</f>
        <v xml:space="preserve">4170063202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22.36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70.959999999999994</v>
      </c>
      <c r="BM811">
        <v>10.64</v>
      </c>
      <c r="BN811">
        <v>81.599999999999994</v>
      </c>
      <c r="BO811">
        <v>81.599999999999994</v>
      </c>
      <c r="BQ811" t="s">
        <v>957</v>
      </c>
      <c r="BR811" t="s">
        <v>97</v>
      </c>
      <c r="BS811" s="3">
        <v>45938</v>
      </c>
      <c r="BT811" s="4">
        <v>0.36736111111111114</v>
      </c>
      <c r="BU811" t="s">
        <v>1552</v>
      </c>
      <c r="BV811" t="s">
        <v>86</v>
      </c>
      <c r="BY811">
        <v>1200</v>
      </c>
      <c r="CA811" t="s">
        <v>1145</v>
      </c>
      <c r="CC811" t="s">
        <v>109</v>
      </c>
      <c r="CD811">
        <v>6001</v>
      </c>
      <c r="CE811" t="s">
        <v>147</v>
      </c>
      <c r="CF811" s="3">
        <v>45938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"080068374217"</f>
        <v>080068374217</v>
      </c>
      <c r="F812" s="3">
        <v>45937</v>
      </c>
      <c r="G812">
        <v>202607</v>
      </c>
      <c r="H812" t="s">
        <v>79</v>
      </c>
      <c r="I812" t="s">
        <v>80</v>
      </c>
      <c r="J812" t="s">
        <v>91</v>
      </c>
      <c r="K812" t="s">
        <v>78</v>
      </c>
      <c r="L812" t="s">
        <v>121</v>
      </c>
      <c r="M812" t="s">
        <v>122</v>
      </c>
      <c r="N812" t="s">
        <v>707</v>
      </c>
      <c r="O812" t="s">
        <v>82</v>
      </c>
      <c r="P812" t="str">
        <f>"4170063368                    "</f>
        <v xml:space="preserve">4170063368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22.36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70.959999999999994</v>
      </c>
      <c r="BM812">
        <v>10.64</v>
      </c>
      <c r="BN812">
        <v>81.599999999999994</v>
      </c>
      <c r="BO812">
        <v>81.599999999999994</v>
      </c>
      <c r="BQ812" t="s">
        <v>708</v>
      </c>
      <c r="BR812" t="s">
        <v>97</v>
      </c>
      <c r="BS812" s="3">
        <v>45938</v>
      </c>
      <c r="BT812" s="4">
        <v>0.44444444444444442</v>
      </c>
      <c r="BU812" t="s">
        <v>709</v>
      </c>
      <c r="BV812" t="s">
        <v>86</v>
      </c>
      <c r="BY812">
        <v>1200</v>
      </c>
      <c r="CA812" t="s">
        <v>651</v>
      </c>
      <c r="CC812" t="s">
        <v>122</v>
      </c>
      <c r="CD812">
        <v>4001</v>
      </c>
      <c r="CE812" t="s">
        <v>147</v>
      </c>
      <c r="CF812" s="3">
        <v>45939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"080068374224"</f>
        <v>080068374224</v>
      </c>
      <c r="F813" s="3">
        <v>45937</v>
      </c>
      <c r="G813">
        <v>202607</v>
      </c>
      <c r="H813" t="s">
        <v>79</v>
      </c>
      <c r="I813" t="s">
        <v>80</v>
      </c>
      <c r="J813" t="s">
        <v>91</v>
      </c>
      <c r="K813" t="s">
        <v>78</v>
      </c>
      <c r="L813" t="s">
        <v>453</v>
      </c>
      <c r="M813" t="s">
        <v>454</v>
      </c>
      <c r="N813" t="s">
        <v>968</v>
      </c>
      <c r="O813" t="s">
        <v>82</v>
      </c>
      <c r="P813" t="str">
        <f>"4170063318                    "</f>
        <v xml:space="preserve">4170063318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22.36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70.959999999999994</v>
      </c>
      <c r="BM813">
        <v>10.64</v>
      </c>
      <c r="BN813">
        <v>81.599999999999994</v>
      </c>
      <c r="BO813">
        <v>81.599999999999994</v>
      </c>
      <c r="BQ813" t="s">
        <v>969</v>
      </c>
      <c r="BR813" t="s">
        <v>97</v>
      </c>
      <c r="BS813" s="3">
        <v>45938</v>
      </c>
      <c r="BT813" s="4">
        <v>0.41666666666666669</v>
      </c>
      <c r="BU813" t="s">
        <v>1399</v>
      </c>
      <c r="BV813" t="s">
        <v>86</v>
      </c>
      <c r="BY813">
        <v>1200</v>
      </c>
      <c r="CA813" t="s">
        <v>457</v>
      </c>
      <c r="CC813" t="s">
        <v>454</v>
      </c>
      <c r="CD813">
        <v>3600</v>
      </c>
      <c r="CE813" t="s">
        <v>147</v>
      </c>
      <c r="CF813" s="3">
        <v>45938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"080068374247"</f>
        <v>080068374247</v>
      </c>
      <c r="F814" s="3">
        <v>45937</v>
      </c>
      <c r="G814">
        <v>202607</v>
      </c>
      <c r="H814" t="s">
        <v>79</v>
      </c>
      <c r="I814" t="s">
        <v>80</v>
      </c>
      <c r="J814" t="s">
        <v>91</v>
      </c>
      <c r="K814" t="s">
        <v>78</v>
      </c>
      <c r="L814" t="s">
        <v>218</v>
      </c>
      <c r="M814" t="s">
        <v>219</v>
      </c>
      <c r="N814" t="s">
        <v>682</v>
      </c>
      <c r="O814" t="s">
        <v>82</v>
      </c>
      <c r="P814" t="str">
        <f>"4170063402                    "</f>
        <v xml:space="preserve">4170063402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17.46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55.42</v>
      </c>
      <c r="BM814">
        <v>8.31</v>
      </c>
      <c r="BN814">
        <v>63.73</v>
      </c>
      <c r="BO814">
        <v>63.73</v>
      </c>
      <c r="BQ814" t="s">
        <v>683</v>
      </c>
      <c r="BR814" t="s">
        <v>97</v>
      </c>
      <c r="BS814" s="3">
        <v>45938</v>
      </c>
      <c r="BT814" s="4">
        <v>0.34166666666666667</v>
      </c>
      <c r="BU814" t="s">
        <v>1553</v>
      </c>
      <c r="BV814" t="s">
        <v>86</v>
      </c>
      <c r="BY814">
        <v>1200</v>
      </c>
      <c r="CA814" t="s">
        <v>1434</v>
      </c>
      <c r="CC814" t="s">
        <v>219</v>
      </c>
      <c r="CD814">
        <v>1559</v>
      </c>
      <c r="CE814" t="s">
        <v>147</v>
      </c>
      <c r="CF814" s="3">
        <v>45939</v>
      </c>
      <c r="CI814">
        <v>1</v>
      </c>
      <c r="CJ814">
        <v>1</v>
      </c>
      <c r="CK814">
        <v>22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"080068374816"</f>
        <v>080068374816</v>
      </c>
      <c r="F815" s="3">
        <v>45937</v>
      </c>
      <c r="G815">
        <v>202607</v>
      </c>
      <c r="H815" t="s">
        <v>79</v>
      </c>
      <c r="I815" t="s">
        <v>80</v>
      </c>
      <c r="J815" t="s">
        <v>91</v>
      </c>
      <c r="K815" t="s">
        <v>78</v>
      </c>
      <c r="L815" t="s">
        <v>79</v>
      </c>
      <c r="M815" t="s">
        <v>80</v>
      </c>
      <c r="N815" t="s">
        <v>830</v>
      </c>
      <c r="O815" t="s">
        <v>82</v>
      </c>
      <c r="P815" t="str">
        <f>"4170063250                    "</f>
        <v xml:space="preserve">4170063250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17.46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55.42</v>
      </c>
      <c r="BM815">
        <v>8.31</v>
      </c>
      <c r="BN815">
        <v>63.73</v>
      </c>
      <c r="BO815">
        <v>63.73</v>
      </c>
      <c r="BQ815" t="s">
        <v>831</v>
      </c>
      <c r="BR815" t="s">
        <v>97</v>
      </c>
      <c r="BS815" s="3">
        <v>45938</v>
      </c>
      <c r="BT815" s="4">
        <v>0.40763888888888888</v>
      </c>
      <c r="BU815" t="s">
        <v>832</v>
      </c>
      <c r="BV815" t="s">
        <v>86</v>
      </c>
      <c r="BY815">
        <v>1200</v>
      </c>
      <c r="CA815" t="s">
        <v>88</v>
      </c>
      <c r="CC815" t="s">
        <v>80</v>
      </c>
      <c r="CD815">
        <v>1619</v>
      </c>
      <c r="CE815" t="s">
        <v>147</v>
      </c>
      <c r="CF815" s="3">
        <v>45938</v>
      </c>
      <c r="CI815">
        <v>1</v>
      </c>
      <c r="CJ815">
        <v>1</v>
      </c>
      <c r="CK815">
        <v>22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"080068374852"</f>
        <v>080068374852</v>
      </c>
      <c r="F816" s="3">
        <v>45937</v>
      </c>
      <c r="G816">
        <v>202607</v>
      </c>
      <c r="H816" t="s">
        <v>79</v>
      </c>
      <c r="I816" t="s">
        <v>80</v>
      </c>
      <c r="J816" t="s">
        <v>91</v>
      </c>
      <c r="K816" t="s">
        <v>78</v>
      </c>
      <c r="L816" t="s">
        <v>542</v>
      </c>
      <c r="M816" t="s">
        <v>543</v>
      </c>
      <c r="N816" t="s">
        <v>1554</v>
      </c>
      <c r="O816" t="s">
        <v>82</v>
      </c>
      <c r="P816" t="str">
        <f>"4170063416                    "</f>
        <v xml:space="preserve">4170063416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17.46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55.42</v>
      </c>
      <c r="BM816">
        <v>8.31</v>
      </c>
      <c r="BN816">
        <v>63.73</v>
      </c>
      <c r="BO816">
        <v>63.73</v>
      </c>
      <c r="BQ816" t="s">
        <v>1555</v>
      </c>
      <c r="BR816" t="s">
        <v>97</v>
      </c>
      <c r="BS816" s="3">
        <v>45938</v>
      </c>
      <c r="BT816" s="4">
        <v>0.4</v>
      </c>
      <c r="BU816" t="s">
        <v>165</v>
      </c>
      <c r="BV816" t="s">
        <v>86</v>
      </c>
      <c r="BY816">
        <v>1200</v>
      </c>
      <c r="CA816" t="s">
        <v>547</v>
      </c>
      <c r="CC816" t="s">
        <v>543</v>
      </c>
      <c r="CD816">
        <v>1684</v>
      </c>
      <c r="CE816" t="s">
        <v>147</v>
      </c>
      <c r="CF816" s="3">
        <v>45939</v>
      </c>
      <c r="CI816">
        <v>1</v>
      </c>
      <c r="CJ816">
        <v>1</v>
      </c>
      <c r="CK816">
        <v>22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"080068374888"</f>
        <v>080068374888</v>
      </c>
      <c r="F817" s="3">
        <v>45937</v>
      </c>
      <c r="G817">
        <v>202607</v>
      </c>
      <c r="H817" t="s">
        <v>79</v>
      </c>
      <c r="I817" t="s">
        <v>80</v>
      </c>
      <c r="J817" t="s">
        <v>91</v>
      </c>
      <c r="K817" t="s">
        <v>78</v>
      </c>
      <c r="L817" t="s">
        <v>206</v>
      </c>
      <c r="M817" t="s">
        <v>207</v>
      </c>
      <c r="N817" t="s">
        <v>427</v>
      </c>
      <c r="O817" t="s">
        <v>82</v>
      </c>
      <c r="P817" t="str">
        <f>"4170063357                    "</f>
        <v xml:space="preserve">4170063357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22.36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70.959999999999994</v>
      </c>
      <c r="BM817">
        <v>10.64</v>
      </c>
      <c r="BN817">
        <v>81.599999999999994</v>
      </c>
      <c r="BO817">
        <v>81.599999999999994</v>
      </c>
      <c r="BQ817" t="s">
        <v>428</v>
      </c>
      <c r="BR817" t="s">
        <v>97</v>
      </c>
      <c r="BS817" s="3">
        <v>45938</v>
      </c>
      <c r="BT817" s="4">
        <v>0.41666666666666669</v>
      </c>
      <c r="BU817" t="s">
        <v>1545</v>
      </c>
      <c r="BV817" t="s">
        <v>86</v>
      </c>
      <c r="BY817">
        <v>1200</v>
      </c>
      <c r="CA817" t="s">
        <v>423</v>
      </c>
      <c r="CC817" t="s">
        <v>207</v>
      </c>
      <c r="CD817">
        <v>7530</v>
      </c>
      <c r="CE817" t="s">
        <v>147</v>
      </c>
      <c r="CF817" s="3">
        <v>45939</v>
      </c>
      <c r="CI817">
        <v>1</v>
      </c>
      <c r="CJ817">
        <v>1</v>
      </c>
      <c r="CK817">
        <v>21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"080068374927"</f>
        <v>080068374927</v>
      </c>
      <c r="F818" s="3">
        <v>45937</v>
      </c>
      <c r="G818">
        <v>202607</v>
      </c>
      <c r="H818" t="s">
        <v>79</v>
      </c>
      <c r="I818" t="s">
        <v>80</v>
      </c>
      <c r="J818" t="s">
        <v>91</v>
      </c>
      <c r="K818" t="s">
        <v>78</v>
      </c>
      <c r="L818" t="s">
        <v>333</v>
      </c>
      <c r="M818" t="s">
        <v>334</v>
      </c>
      <c r="N818" t="s">
        <v>512</v>
      </c>
      <c r="O818" t="s">
        <v>82</v>
      </c>
      <c r="P818" t="str">
        <f>"4170063313                    "</f>
        <v xml:space="preserve">4170063313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22.36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70.959999999999994</v>
      </c>
      <c r="BM818">
        <v>10.64</v>
      </c>
      <c r="BN818">
        <v>81.599999999999994</v>
      </c>
      <c r="BO818">
        <v>81.599999999999994</v>
      </c>
      <c r="BQ818" t="s">
        <v>513</v>
      </c>
      <c r="BR818" t="s">
        <v>97</v>
      </c>
      <c r="BS818" s="3">
        <v>45938</v>
      </c>
      <c r="BT818" s="4">
        <v>0.43680555555555556</v>
      </c>
      <c r="BU818" t="s">
        <v>1556</v>
      </c>
      <c r="BV818" t="s">
        <v>86</v>
      </c>
      <c r="BY818">
        <v>1200</v>
      </c>
      <c r="CA818" t="s">
        <v>142</v>
      </c>
      <c r="CC818" t="s">
        <v>334</v>
      </c>
      <c r="CD818">
        <v>6220</v>
      </c>
      <c r="CE818" t="s">
        <v>147</v>
      </c>
      <c r="CF818" s="3">
        <v>45938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"080068374977"</f>
        <v>080068374977</v>
      </c>
      <c r="F819" s="3">
        <v>45937</v>
      </c>
      <c r="G819">
        <v>202607</v>
      </c>
      <c r="H819" t="s">
        <v>79</v>
      </c>
      <c r="I819" t="s">
        <v>80</v>
      </c>
      <c r="J819" t="s">
        <v>91</v>
      </c>
      <c r="K819" t="s">
        <v>78</v>
      </c>
      <c r="L819" t="s">
        <v>271</v>
      </c>
      <c r="M819" t="s">
        <v>272</v>
      </c>
      <c r="N819" t="s">
        <v>443</v>
      </c>
      <c r="O819" t="s">
        <v>226</v>
      </c>
      <c r="P819" t="str">
        <f>"4170063440                    "</f>
        <v xml:space="preserve">4170063440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17.47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2</v>
      </c>
      <c r="BJ819">
        <v>3.4</v>
      </c>
      <c r="BK819">
        <v>4</v>
      </c>
      <c r="BL819">
        <v>55.44</v>
      </c>
      <c r="BM819">
        <v>8.32</v>
      </c>
      <c r="BN819">
        <v>63.76</v>
      </c>
      <c r="BO819">
        <v>63.76</v>
      </c>
      <c r="BQ819" t="s">
        <v>444</v>
      </c>
      <c r="BR819" t="s">
        <v>97</v>
      </c>
      <c r="BS819" s="3">
        <v>45938</v>
      </c>
      <c r="BT819" s="4">
        <v>0.42499999999999999</v>
      </c>
      <c r="BU819" t="s">
        <v>660</v>
      </c>
      <c r="BV819" t="s">
        <v>86</v>
      </c>
      <c r="BY819">
        <v>16965</v>
      </c>
      <c r="CA819" t="s">
        <v>661</v>
      </c>
      <c r="CC819" t="s">
        <v>272</v>
      </c>
      <c r="CD819">
        <v>1428</v>
      </c>
      <c r="CE819" t="s">
        <v>191</v>
      </c>
      <c r="CF819" s="3">
        <v>45938</v>
      </c>
      <c r="CI819">
        <v>1</v>
      </c>
      <c r="CJ819">
        <v>1</v>
      </c>
      <c r="CK819">
        <v>32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"080068375003"</f>
        <v>080068375003</v>
      </c>
      <c r="F820" s="3">
        <v>45937</v>
      </c>
      <c r="G820">
        <v>202607</v>
      </c>
      <c r="H820" t="s">
        <v>79</v>
      </c>
      <c r="I820" t="s">
        <v>80</v>
      </c>
      <c r="J820" t="s">
        <v>91</v>
      </c>
      <c r="K820" t="s">
        <v>78</v>
      </c>
      <c r="L820" t="s">
        <v>233</v>
      </c>
      <c r="M820" t="s">
        <v>234</v>
      </c>
      <c r="N820" t="s">
        <v>908</v>
      </c>
      <c r="O820" t="s">
        <v>95</v>
      </c>
      <c r="P820" t="str">
        <f>"4170063432                    "</f>
        <v xml:space="preserve">4170063432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45.02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7</v>
      </c>
      <c r="BJ820">
        <v>15.7</v>
      </c>
      <c r="BK820">
        <v>16</v>
      </c>
      <c r="BL820">
        <v>148.75</v>
      </c>
      <c r="BM820">
        <v>22.31</v>
      </c>
      <c r="BN820">
        <v>171.06</v>
      </c>
      <c r="BO820">
        <v>171.06</v>
      </c>
      <c r="BQ820" t="s">
        <v>909</v>
      </c>
      <c r="BR820" t="s">
        <v>97</v>
      </c>
      <c r="BS820" s="3">
        <v>45938</v>
      </c>
      <c r="BT820" s="4">
        <v>0.39097222222222222</v>
      </c>
      <c r="BU820" t="s">
        <v>1401</v>
      </c>
      <c r="BV820" t="s">
        <v>86</v>
      </c>
      <c r="BY820">
        <v>78732</v>
      </c>
      <c r="CA820" t="s">
        <v>146</v>
      </c>
      <c r="CC820" t="s">
        <v>234</v>
      </c>
      <c r="CD820" s="5" t="s">
        <v>238</v>
      </c>
      <c r="CE820" t="s">
        <v>107</v>
      </c>
      <c r="CF820" s="3">
        <v>45938</v>
      </c>
      <c r="CI820">
        <v>1</v>
      </c>
      <c r="CJ820">
        <v>1</v>
      </c>
      <c r="CK820">
        <v>41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"080068375019"</f>
        <v>080068375019</v>
      </c>
      <c r="F821" s="3">
        <v>45937</v>
      </c>
      <c r="G821">
        <v>202607</v>
      </c>
      <c r="H821" t="s">
        <v>79</v>
      </c>
      <c r="I821" t="s">
        <v>80</v>
      </c>
      <c r="J821" t="s">
        <v>91</v>
      </c>
      <c r="K821" t="s">
        <v>78</v>
      </c>
      <c r="L821" t="s">
        <v>206</v>
      </c>
      <c r="M821" t="s">
        <v>207</v>
      </c>
      <c r="N821" t="s">
        <v>656</v>
      </c>
      <c r="O821" t="s">
        <v>82</v>
      </c>
      <c r="P821" t="str">
        <f>"4170063355                    "</f>
        <v xml:space="preserve">4170063355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22.36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</v>
      </c>
      <c r="BJ821">
        <v>1.1000000000000001</v>
      </c>
      <c r="BK821">
        <v>2</v>
      </c>
      <c r="BL821">
        <v>70.959999999999994</v>
      </c>
      <c r="BM821">
        <v>10.64</v>
      </c>
      <c r="BN821">
        <v>81.599999999999994</v>
      </c>
      <c r="BO821">
        <v>81.599999999999994</v>
      </c>
      <c r="BQ821" t="s">
        <v>657</v>
      </c>
      <c r="BR821" t="s">
        <v>97</v>
      </c>
      <c r="BS821" s="3">
        <v>45938</v>
      </c>
      <c r="BT821" s="4">
        <v>0.42222222222222222</v>
      </c>
      <c r="BU821" t="s">
        <v>1442</v>
      </c>
      <c r="BV821" t="s">
        <v>86</v>
      </c>
      <c r="BY821">
        <v>5510</v>
      </c>
      <c r="CA821" t="s">
        <v>770</v>
      </c>
      <c r="CC821" t="s">
        <v>207</v>
      </c>
      <c r="CD821">
        <v>7441</v>
      </c>
      <c r="CE821" t="s">
        <v>191</v>
      </c>
      <c r="CF821" s="3">
        <v>45939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"080068375193"</f>
        <v>080068375193</v>
      </c>
      <c r="F822" s="3">
        <v>45937</v>
      </c>
      <c r="G822">
        <v>202607</v>
      </c>
      <c r="H822" t="s">
        <v>79</v>
      </c>
      <c r="I822" t="s">
        <v>80</v>
      </c>
      <c r="J822" t="s">
        <v>91</v>
      </c>
      <c r="K822" t="s">
        <v>78</v>
      </c>
      <c r="L822" t="s">
        <v>121</v>
      </c>
      <c r="M822" t="s">
        <v>122</v>
      </c>
      <c r="N822" t="s">
        <v>1557</v>
      </c>
      <c r="O822" t="s">
        <v>82</v>
      </c>
      <c r="P822" t="str">
        <f>"4170063443                    "</f>
        <v xml:space="preserve">4170063443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22.36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2</v>
      </c>
      <c r="BJ822">
        <v>1.1000000000000001</v>
      </c>
      <c r="BK822">
        <v>2</v>
      </c>
      <c r="BL822">
        <v>70.959999999999994</v>
      </c>
      <c r="BM822">
        <v>10.64</v>
      </c>
      <c r="BN822">
        <v>81.599999999999994</v>
      </c>
      <c r="BO822">
        <v>81.599999999999994</v>
      </c>
      <c r="BQ822" t="s">
        <v>1558</v>
      </c>
      <c r="BR822" t="s">
        <v>97</v>
      </c>
      <c r="BS822" s="3">
        <v>45938</v>
      </c>
      <c r="BT822" s="4">
        <v>0.7729166666666667</v>
      </c>
      <c r="BU822" t="s">
        <v>1559</v>
      </c>
      <c r="BV822" t="s">
        <v>90</v>
      </c>
      <c r="BW822" t="s">
        <v>136</v>
      </c>
      <c r="BX822" t="s">
        <v>1222</v>
      </c>
      <c r="BY822">
        <v>5510</v>
      </c>
      <c r="CA822" t="s">
        <v>1114</v>
      </c>
      <c r="CC822" t="s">
        <v>122</v>
      </c>
      <c r="CD822">
        <v>4001</v>
      </c>
      <c r="CE822" t="s">
        <v>191</v>
      </c>
      <c r="CF822" s="3">
        <v>45938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"080068375205"</f>
        <v>080068375205</v>
      </c>
      <c r="F823" s="3">
        <v>45937</v>
      </c>
      <c r="G823">
        <v>202607</v>
      </c>
      <c r="H823" t="s">
        <v>79</v>
      </c>
      <c r="I823" t="s">
        <v>80</v>
      </c>
      <c r="J823" t="s">
        <v>91</v>
      </c>
      <c r="K823" t="s">
        <v>78</v>
      </c>
      <c r="L823" t="s">
        <v>206</v>
      </c>
      <c r="M823" t="s">
        <v>207</v>
      </c>
      <c r="N823" t="s">
        <v>427</v>
      </c>
      <c r="O823" t="s">
        <v>82</v>
      </c>
      <c r="P823" t="str">
        <f>"4170063325                    "</f>
        <v xml:space="preserve">4170063325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22.36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70.959999999999994</v>
      </c>
      <c r="BM823">
        <v>10.64</v>
      </c>
      <c r="BN823">
        <v>81.599999999999994</v>
      </c>
      <c r="BO823">
        <v>81.599999999999994</v>
      </c>
      <c r="BQ823" t="s">
        <v>428</v>
      </c>
      <c r="BR823" t="s">
        <v>97</v>
      </c>
      <c r="BS823" s="3">
        <v>45938</v>
      </c>
      <c r="BT823" s="4">
        <v>0.41666666666666669</v>
      </c>
      <c r="BU823" t="s">
        <v>1545</v>
      </c>
      <c r="BV823" t="s">
        <v>86</v>
      </c>
      <c r="BY823">
        <v>1200</v>
      </c>
      <c r="CA823" t="s">
        <v>423</v>
      </c>
      <c r="CC823" t="s">
        <v>207</v>
      </c>
      <c r="CD823">
        <v>7530</v>
      </c>
      <c r="CE823" t="s">
        <v>147</v>
      </c>
      <c r="CF823" s="3">
        <v>45939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"080068375206"</f>
        <v>080068375206</v>
      </c>
      <c r="F824" s="3">
        <v>45937</v>
      </c>
      <c r="G824">
        <v>202607</v>
      </c>
      <c r="H824" t="s">
        <v>79</v>
      </c>
      <c r="I824" t="s">
        <v>80</v>
      </c>
      <c r="J824" t="s">
        <v>91</v>
      </c>
      <c r="K824" t="s">
        <v>78</v>
      </c>
      <c r="L824" t="s">
        <v>271</v>
      </c>
      <c r="M824" t="s">
        <v>272</v>
      </c>
      <c r="N824" t="s">
        <v>443</v>
      </c>
      <c r="O824" t="s">
        <v>82</v>
      </c>
      <c r="P824" t="str">
        <f>"4170063264                    "</f>
        <v xml:space="preserve">4170063264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17.46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1.1000000000000001</v>
      </c>
      <c r="BK824">
        <v>2</v>
      </c>
      <c r="BL824">
        <v>55.42</v>
      </c>
      <c r="BM824">
        <v>8.31</v>
      </c>
      <c r="BN824">
        <v>63.73</v>
      </c>
      <c r="BO824">
        <v>63.73</v>
      </c>
      <c r="BQ824" t="s">
        <v>444</v>
      </c>
      <c r="BR824" t="s">
        <v>97</v>
      </c>
      <c r="BS824" s="3">
        <v>45938</v>
      </c>
      <c r="BT824" s="4">
        <v>0.42499999999999999</v>
      </c>
      <c r="BU824" t="s">
        <v>660</v>
      </c>
      <c r="BV824" t="s">
        <v>86</v>
      </c>
      <c r="BY824">
        <v>5320</v>
      </c>
      <c r="CA824" t="s">
        <v>661</v>
      </c>
      <c r="CC824" t="s">
        <v>272</v>
      </c>
      <c r="CD824">
        <v>1428</v>
      </c>
      <c r="CE824" t="s">
        <v>191</v>
      </c>
      <c r="CF824" s="3">
        <v>45938</v>
      </c>
      <c r="CI824">
        <v>1</v>
      </c>
      <c r="CJ824">
        <v>1</v>
      </c>
      <c r="CK824">
        <v>22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"080068375217"</f>
        <v>080068375217</v>
      </c>
      <c r="F825" s="3">
        <v>45937</v>
      </c>
      <c r="G825">
        <v>202607</v>
      </c>
      <c r="H825" t="s">
        <v>79</v>
      </c>
      <c r="I825" t="s">
        <v>80</v>
      </c>
      <c r="J825" t="s">
        <v>91</v>
      </c>
      <c r="K825" t="s">
        <v>78</v>
      </c>
      <c r="L825" t="s">
        <v>959</v>
      </c>
      <c r="M825" t="s">
        <v>960</v>
      </c>
      <c r="N825" t="s">
        <v>961</v>
      </c>
      <c r="O825" t="s">
        <v>82</v>
      </c>
      <c r="P825" t="str">
        <f>"4170063247                    "</f>
        <v xml:space="preserve">4170063247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43.31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137.47</v>
      </c>
      <c r="BM825">
        <v>20.62</v>
      </c>
      <c r="BN825">
        <v>158.09</v>
      </c>
      <c r="BO825">
        <v>158.09</v>
      </c>
      <c r="BQ825" t="s">
        <v>962</v>
      </c>
      <c r="BR825" t="s">
        <v>97</v>
      </c>
      <c r="BS825" s="3">
        <v>45938</v>
      </c>
      <c r="BT825" s="4">
        <v>0.5541666666666667</v>
      </c>
      <c r="BU825" t="s">
        <v>1560</v>
      </c>
      <c r="BV825" t="s">
        <v>86</v>
      </c>
      <c r="BY825">
        <v>1200</v>
      </c>
      <c r="CA825" t="s">
        <v>1125</v>
      </c>
      <c r="CC825" t="s">
        <v>960</v>
      </c>
      <c r="CD825">
        <v>6300</v>
      </c>
      <c r="CE825" t="s">
        <v>147</v>
      </c>
      <c r="CF825" s="3">
        <v>45938</v>
      </c>
      <c r="CI825">
        <v>2</v>
      </c>
      <c r="CJ825">
        <v>1</v>
      </c>
      <c r="CK825">
        <v>23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"080068375233"</f>
        <v>080068375233</v>
      </c>
      <c r="F826" s="3">
        <v>45937</v>
      </c>
      <c r="G826">
        <v>202607</v>
      </c>
      <c r="H826" t="s">
        <v>79</v>
      </c>
      <c r="I826" t="s">
        <v>80</v>
      </c>
      <c r="J826" t="s">
        <v>91</v>
      </c>
      <c r="K826" t="s">
        <v>78</v>
      </c>
      <c r="L826" t="s">
        <v>148</v>
      </c>
      <c r="M826" t="s">
        <v>149</v>
      </c>
      <c r="N826" t="s">
        <v>465</v>
      </c>
      <c r="O826" t="s">
        <v>226</v>
      </c>
      <c r="P826" t="str">
        <f>"4170063211                    "</f>
        <v xml:space="preserve">4170063211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17.47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5</v>
      </c>
      <c r="BJ826">
        <v>3.2</v>
      </c>
      <c r="BK826">
        <v>5</v>
      </c>
      <c r="BL826">
        <v>55.44</v>
      </c>
      <c r="BM826">
        <v>8.32</v>
      </c>
      <c r="BN826">
        <v>63.76</v>
      </c>
      <c r="BO826">
        <v>63.76</v>
      </c>
      <c r="BQ826" t="s">
        <v>466</v>
      </c>
      <c r="BR826" t="s">
        <v>97</v>
      </c>
      <c r="BS826" s="3">
        <v>45938</v>
      </c>
      <c r="BT826" s="4">
        <v>0.42083333333333334</v>
      </c>
      <c r="BU826" t="s">
        <v>1467</v>
      </c>
      <c r="BV826" t="s">
        <v>86</v>
      </c>
      <c r="BY826">
        <v>16016</v>
      </c>
      <c r="CA826" t="s">
        <v>1408</v>
      </c>
      <c r="CC826" t="s">
        <v>149</v>
      </c>
      <c r="CD826">
        <v>2094</v>
      </c>
      <c r="CE826" t="s">
        <v>191</v>
      </c>
      <c r="CF826" s="3">
        <v>45938</v>
      </c>
      <c r="CI826">
        <v>1</v>
      </c>
      <c r="CJ826">
        <v>1</v>
      </c>
      <c r="CK826">
        <v>32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"080068375238"</f>
        <v>080068375238</v>
      </c>
      <c r="F827" s="3">
        <v>45937</v>
      </c>
      <c r="G827">
        <v>202607</v>
      </c>
      <c r="H827" t="s">
        <v>79</v>
      </c>
      <c r="I827" t="s">
        <v>80</v>
      </c>
      <c r="J827" t="s">
        <v>91</v>
      </c>
      <c r="K827" t="s">
        <v>78</v>
      </c>
      <c r="L827" t="s">
        <v>206</v>
      </c>
      <c r="M827" t="s">
        <v>207</v>
      </c>
      <c r="N827" t="s">
        <v>734</v>
      </c>
      <c r="O827" t="s">
        <v>82</v>
      </c>
      <c r="P827" t="str">
        <f>"4170063248                    "</f>
        <v xml:space="preserve">4170063248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22.36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70.959999999999994</v>
      </c>
      <c r="BM827">
        <v>10.64</v>
      </c>
      <c r="BN827">
        <v>81.599999999999994</v>
      </c>
      <c r="BO827">
        <v>81.599999999999994</v>
      </c>
      <c r="BQ827" t="s">
        <v>735</v>
      </c>
      <c r="BR827" t="s">
        <v>97</v>
      </c>
      <c r="BS827" s="3">
        <v>45938</v>
      </c>
      <c r="BT827" s="4">
        <v>0.44305555555555554</v>
      </c>
      <c r="BU827" t="s">
        <v>736</v>
      </c>
      <c r="BV827" t="s">
        <v>90</v>
      </c>
      <c r="BW827" t="s">
        <v>347</v>
      </c>
      <c r="BX827" t="s">
        <v>348</v>
      </c>
      <c r="BY827">
        <v>1200</v>
      </c>
      <c r="CA827" t="s">
        <v>480</v>
      </c>
      <c r="CC827" t="s">
        <v>207</v>
      </c>
      <c r="CD827">
        <v>7480</v>
      </c>
      <c r="CE827" t="s">
        <v>147</v>
      </c>
      <c r="CF827" s="3">
        <v>45939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"080068375263"</f>
        <v>080068375263</v>
      </c>
      <c r="F828" s="3">
        <v>45937</v>
      </c>
      <c r="G828">
        <v>202607</v>
      </c>
      <c r="H828" t="s">
        <v>79</v>
      </c>
      <c r="I828" t="s">
        <v>80</v>
      </c>
      <c r="J828" t="s">
        <v>91</v>
      </c>
      <c r="K828" t="s">
        <v>78</v>
      </c>
      <c r="L828" t="s">
        <v>233</v>
      </c>
      <c r="M828" t="s">
        <v>234</v>
      </c>
      <c r="N828" t="s">
        <v>235</v>
      </c>
      <c r="O828" t="s">
        <v>82</v>
      </c>
      <c r="P828" t="str">
        <f>"4170063418                    "</f>
        <v xml:space="preserve">4170063418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22.36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70.959999999999994</v>
      </c>
      <c r="BM828">
        <v>10.64</v>
      </c>
      <c r="BN828">
        <v>81.599999999999994</v>
      </c>
      <c r="BO828">
        <v>81.599999999999994</v>
      </c>
      <c r="BQ828" t="s">
        <v>236</v>
      </c>
      <c r="BR828" t="s">
        <v>97</v>
      </c>
      <c r="BS828" s="3">
        <v>45938</v>
      </c>
      <c r="BT828" s="4">
        <v>0.38750000000000001</v>
      </c>
      <c r="BU828" t="s">
        <v>1561</v>
      </c>
      <c r="BV828" t="s">
        <v>86</v>
      </c>
      <c r="BY828">
        <v>1200</v>
      </c>
      <c r="CC828" t="s">
        <v>234</v>
      </c>
      <c r="CD828" s="5" t="s">
        <v>238</v>
      </c>
      <c r="CE828" t="s">
        <v>147</v>
      </c>
      <c r="CF828" s="3">
        <v>45938</v>
      </c>
      <c r="CI828">
        <v>1</v>
      </c>
      <c r="CJ828">
        <v>1</v>
      </c>
      <c r="CK828">
        <v>21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"080068375278"</f>
        <v>080068375278</v>
      </c>
      <c r="F829" s="3">
        <v>45937</v>
      </c>
      <c r="G829">
        <v>202607</v>
      </c>
      <c r="H829" t="s">
        <v>79</v>
      </c>
      <c r="I829" t="s">
        <v>80</v>
      </c>
      <c r="J829" t="s">
        <v>91</v>
      </c>
      <c r="K829" t="s">
        <v>78</v>
      </c>
      <c r="L829" t="s">
        <v>453</v>
      </c>
      <c r="M829" t="s">
        <v>454</v>
      </c>
      <c r="N829" t="s">
        <v>665</v>
      </c>
      <c r="O829" t="s">
        <v>82</v>
      </c>
      <c r="P829" t="str">
        <f>"4170063419                    "</f>
        <v xml:space="preserve">4170063419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22.36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1.1000000000000001</v>
      </c>
      <c r="BK829">
        <v>1.5</v>
      </c>
      <c r="BL829">
        <v>70.959999999999994</v>
      </c>
      <c r="BM829">
        <v>10.64</v>
      </c>
      <c r="BN829">
        <v>81.599999999999994</v>
      </c>
      <c r="BO829">
        <v>81.599999999999994</v>
      </c>
      <c r="BQ829" t="s">
        <v>666</v>
      </c>
      <c r="BR829" t="s">
        <v>97</v>
      </c>
      <c r="BS829" s="3">
        <v>45938</v>
      </c>
      <c r="BT829" s="4">
        <v>0.41944444444444445</v>
      </c>
      <c r="BU829" t="s">
        <v>1562</v>
      </c>
      <c r="BV829" t="s">
        <v>86</v>
      </c>
      <c r="BY829">
        <v>5510</v>
      </c>
      <c r="CA829" t="s">
        <v>742</v>
      </c>
      <c r="CC829" t="s">
        <v>454</v>
      </c>
      <c r="CD829">
        <v>3610</v>
      </c>
      <c r="CE829" t="s">
        <v>191</v>
      </c>
      <c r="CF829" s="3">
        <v>45939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"080068375287"</f>
        <v>080068375287</v>
      </c>
      <c r="F830" s="3">
        <v>45937</v>
      </c>
      <c r="G830">
        <v>202607</v>
      </c>
      <c r="H830" t="s">
        <v>79</v>
      </c>
      <c r="I830" t="s">
        <v>80</v>
      </c>
      <c r="J830" t="s">
        <v>91</v>
      </c>
      <c r="K830" t="s">
        <v>78</v>
      </c>
      <c r="L830" t="s">
        <v>108</v>
      </c>
      <c r="M830" t="s">
        <v>109</v>
      </c>
      <c r="N830" t="s">
        <v>997</v>
      </c>
      <c r="O830" t="s">
        <v>82</v>
      </c>
      <c r="P830" t="str">
        <f>"4170063442                    "</f>
        <v xml:space="preserve">4170063442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22.36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70.959999999999994</v>
      </c>
      <c r="BM830">
        <v>10.64</v>
      </c>
      <c r="BN830">
        <v>81.599999999999994</v>
      </c>
      <c r="BO830">
        <v>81.599999999999994</v>
      </c>
      <c r="BQ830" t="s">
        <v>998</v>
      </c>
      <c r="BR830" t="s">
        <v>97</v>
      </c>
      <c r="BS830" s="3">
        <v>45938</v>
      </c>
      <c r="BT830" s="4">
        <v>0.39583333333333331</v>
      </c>
      <c r="BU830" t="s">
        <v>999</v>
      </c>
      <c r="BV830" t="s">
        <v>86</v>
      </c>
      <c r="BY830">
        <v>1200</v>
      </c>
      <c r="CA830" t="s">
        <v>1000</v>
      </c>
      <c r="CC830" t="s">
        <v>109</v>
      </c>
      <c r="CD830">
        <v>6001</v>
      </c>
      <c r="CE830" t="s">
        <v>147</v>
      </c>
      <c r="CF830" s="3">
        <v>45938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"080068375296"</f>
        <v>080068375296</v>
      </c>
      <c r="F831" s="3">
        <v>45937</v>
      </c>
      <c r="G831">
        <v>202607</v>
      </c>
      <c r="H831" t="s">
        <v>79</v>
      </c>
      <c r="I831" t="s">
        <v>80</v>
      </c>
      <c r="J831" t="s">
        <v>91</v>
      </c>
      <c r="K831" t="s">
        <v>78</v>
      </c>
      <c r="L831" t="s">
        <v>148</v>
      </c>
      <c r="M831" t="s">
        <v>149</v>
      </c>
      <c r="N831" t="s">
        <v>1563</v>
      </c>
      <c r="O831" t="s">
        <v>226</v>
      </c>
      <c r="P831" t="str">
        <f>"4170063362                    "</f>
        <v xml:space="preserve">4170063362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17.47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</v>
      </c>
      <c r="BJ831">
        <v>3.9</v>
      </c>
      <c r="BK831">
        <v>4</v>
      </c>
      <c r="BL831">
        <v>55.44</v>
      </c>
      <c r="BM831">
        <v>8.32</v>
      </c>
      <c r="BN831">
        <v>63.76</v>
      </c>
      <c r="BO831">
        <v>63.76</v>
      </c>
      <c r="BQ831" t="s">
        <v>1564</v>
      </c>
      <c r="BR831" t="s">
        <v>97</v>
      </c>
      <c r="BS831" s="3">
        <v>45938</v>
      </c>
      <c r="BT831" s="4">
        <v>0.38541666666666669</v>
      </c>
      <c r="BU831" t="s">
        <v>1565</v>
      </c>
      <c r="BV831" t="s">
        <v>86</v>
      </c>
      <c r="BY831">
        <v>19584</v>
      </c>
      <c r="CA831" t="s">
        <v>1408</v>
      </c>
      <c r="CC831" t="s">
        <v>149</v>
      </c>
      <c r="CD831">
        <v>2094</v>
      </c>
      <c r="CE831" t="s">
        <v>107</v>
      </c>
      <c r="CF831" s="3">
        <v>45938</v>
      </c>
      <c r="CI831">
        <v>1</v>
      </c>
      <c r="CJ831">
        <v>1</v>
      </c>
      <c r="CK831">
        <v>32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"080068375336"</f>
        <v>080068375336</v>
      </c>
      <c r="F832" s="3">
        <v>45937</v>
      </c>
      <c r="G832">
        <v>202607</v>
      </c>
      <c r="H832" t="s">
        <v>79</v>
      </c>
      <c r="I832" t="s">
        <v>80</v>
      </c>
      <c r="J832" t="s">
        <v>91</v>
      </c>
      <c r="K832" t="s">
        <v>78</v>
      </c>
      <c r="L832" t="s">
        <v>206</v>
      </c>
      <c r="M832" t="s">
        <v>207</v>
      </c>
      <c r="N832" t="s">
        <v>698</v>
      </c>
      <c r="O832" t="s">
        <v>82</v>
      </c>
      <c r="P832" t="str">
        <f>"4170063341                    "</f>
        <v xml:space="preserve">4170063341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50.28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4.0999999999999996</v>
      </c>
      <c r="BK832">
        <v>4.5</v>
      </c>
      <c r="BL832">
        <v>159.58000000000001</v>
      </c>
      <c r="BM832">
        <v>23.94</v>
      </c>
      <c r="BN832">
        <v>183.52</v>
      </c>
      <c r="BO832">
        <v>183.52</v>
      </c>
      <c r="BQ832" t="s">
        <v>699</v>
      </c>
      <c r="BR832" t="s">
        <v>97</v>
      </c>
      <c r="BS832" s="3">
        <v>45938</v>
      </c>
      <c r="BT832" s="4">
        <v>0.41666666666666669</v>
      </c>
      <c r="BU832" t="s">
        <v>1566</v>
      </c>
      <c r="BV832" t="s">
        <v>86</v>
      </c>
      <c r="BY832">
        <v>20608</v>
      </c>
      <c r="CC832" t="s">
        <v>207</v>
      </c>
      <c r="CD832">
        <v>7800</v>
      </c>
      <c r="CE832" t="s">
        <v>107</v>
      </c>
      <c r="CF832" s="3">
        <v>45939</v>
      </c>
      <c r="CI832">
        <v>1</v>
      </c>
      <c r="CJ832">
        <v>1</v>
      </c>
      <c r="CK832">
        <v>21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"080068375447"</f>
        <v>080068375447</v>
      </c>
      <c r="F833" s="3">
        <v>45937</v>
      </c>
      <c r="G833">
        <v>202607</v>
      </c>
      <c r="H833" t="s">
        <v>79</v>
      </c>
      <c r="I833" t="s">
        <v>80</v>
      </c>
      <c r="J833" t="s">
        <v>91</v>
      </c>
      <c r="K833" t="s">
        <v>78</v>
      </c>
      <c r="L833" t="s">
        <v>453</v>
      </c>
      <c r="M833" t="s">
        <v>454</v>
      </c>
      <c r="N833" t="s">
        <v>1223</v>
      </c>
      <c r="O833" t="s">
        <v>82</v>
      </c>
      <c r="P833" t="str">
        <f>"4170063414                    "</f>
        <v xml:space="preserve">4170063414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22.36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70.959999999999994</v>
      </c>
      <c r="BM833">
        <v>10.64</v>
      </c>
      <c r="BN833">
        <v>81.599999999999994</v>
      </c>
      <c r="BO833">
        <v>81.599999999999994</v>
      </c>
      <c r="BQ833" t="s">
        <v>1224</v>
      </c>
      <c r="BR833" t="s">
        <v>97</v>
      </c>
      <c r="BS833" s="3">
        <v>45938</v>
      </c>
      <c r="BT833" s="4">
        <v>0.40833333333333333</v>
      </c>
      <c r="BU833" t="s">
        <v>1546</v>
      </c>
      <c r="BV833" t="s">
        <v>86</v>
      </c>
      <c r="BY833">
        <v>1200</v>
      </c>
      <c r="CA833" t="s">
        <v>742</v>
      </c>
      <c r="CC833" t="s">
        <v>454</v>
      </c>
      <c r="CD833">
        <v>3610</v>
      </c>
      <c r="CE833" t="s">
        <v>147</v>
      </c>
      <c r="CF833" s="3">
        <v>45939</v>
      </c>
      <c r="CI833">
        <v>1</v>
      </c>
      <c r="CJ833">
        <v>1</v>
      </c>
      <c r="CK833">
        <v>21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"080068375453"</f>
        <v>080068375453</v>
      </c>
      <c r="F834" s="3">
        <v>45937</v>
      </c>
      <c r="G834">
        <v>202607</v>
      </c>
      <c r="H834" t="s">
        <v>79</v>
      </c>
      <c r="I834" t="s">
        <v>80</v>
      </c>
      <c r="J834" t="s">
        <v>91</v>
      </c>
      <c r="K834" t="s">
        <v>78</v>
      </c>
      <c r="L834" t="s">
        <v>206</v>
      </c>
      <c r="M834" t="s">
        <v>207</v>
      </c>
      <c r="N834" t="s">
        <v>656</v>
      </c>
      <c r="O834" t="s">
        <v>82</v>
      </c>
      <c r="P834" t="str">
        <f>"4170063240                    "</f>
        <v xml:space="preserve">4170063240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67.03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6</v>
      </c>
      <c r="BJ834">
        <v>3.7</v>
      </c>
      <c r="BK834">
        <v>6</v>
      </c>
      <c r="BL834">
        <v>212.75</v>
      </c>
      <c r="BM834">
        <v>31.91</v>
      </c>
      <c r="BN834">
        <v>244.66</v>
      </c>
      <c r="BO834">
        <v>244.66</v>
      </c>
      <c r="BQ834" t="s">
        <v>657</v>
      </c>
      <c r="BR834" t="s">
        <v>97</v>
      </c>
      <c r="BS834" s="3">
        <v>45938</v>
      </c>
      <c r="BT834" s="4">
        <v>0.42222222222222222</v>
      </c>
      <c r="BU834" t="s">
        <v>1442</v>
      </c>
      <c r="BV834" t="s">
        <v>86</v>
      </c>
      <c r="BY834">
        <v>18304</v>
      </c>
      <c r="CA834" t="s">
        <v>770</v>
      </c>
      <c r="CC834" t="s">
        <v>207</v>
      </c>
      <c r="CD834">
        <v>7441</v>
      </c>
      <c r="CE834" t="s">
        <v>191</v>
      </c>
      <c r="CF834" s="3">
        <v>45939</v>
      </c>
      <c r="CI834">
        <v>1</v>
      </c>
      <c r="CJ834">
        <v>1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"080068375482"</f>
        <v>080068375482</v>
      </c>
      <c r="F835" s="3">
        <v>45937</v>
      </c>
      <c r="G835">
        <v>202607</v>
      </c>
      <c r="H835" t="s">
        <v>79</v>
      </c>
      <c r="I835" t="s">
        <v>80</v>
      </c>
      <c r="J835" t="s">
        <v>91</v>
      </c>
      <c r="K835" t="s">
        <v>78</v>
      </c>
      <c r="L835" t="s">
        <v>108</v>
      </c>
      <c r="M835" t="s">
        <v>109</v>
      </c>
      <c r="N835" t="s">
        <v>1567</v>
      </c>
      <c r="O835" t="s">
        <v>82</v>
      </c>
      <c r="P835" t="str">
        <f>"4170063246                    "</f>
        <v xml:space="preserve">4170063246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22.36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1.1000000000000001</v>
      </c>
      <c r="BK835">
        <v>1.5</v>
      </c>
      <c r="BL835">
        <v>70.959999999999994</v>
      </c>
      <c r="BM835">
        <v>10.64</v>
      </c>
      <c r="BN835">
        <v>81.599999999999994</v>
      </c>
      <c r="BO835">
        <v>81.599999999999994</v>
      </c>
      <c r="BQ835" t="s">
        <v>1568</v>
      </c>
      <c r="BR835" t="s">
        <v>97</v>
      </c>
      <c r="BS835" s="3">
        <v>45938</v>
      </c>
      <c r="BT835" s="4">
        <v>0.40555555555555556</v>
      </c>
      <c r="BU835" t="s">
        <v>1569</v>
      </c>
      <c r="BV835" t="s">
        <v>86</v>
      </c>
      <c r="BY835">
        <v>5510</v>
      </c>
      <c r="CA835" t="s">
        <v>559</v>
      </c>
      <c r="CC835" t="s">
        <v>109</v>
      </c>
      <c r="CD835">
        <v>6000</v>
      </c>
      <c r="CE835" t="s">
        <v>191</v>
      </c>
      <c r="CF835" s="3">
        <v>45938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"080068375516"</f>
        <v>080068375516</v>
      </c>
      <c r="F836" s="3">
        <v>45937</v>
      </c>
      <c r="G836">
        <v>202607</v>
      </c>
      <c r="H836" t="s">
        <v>79</v>
      </c>
      <c r="I836" t="s">
        <v>80</v>
      </c>
      <c r="J836" t="s">
        <v>91</v>
      </c>
      <c r="K836" t="s">
        <v>78</v>
      </c>
      <c r="L836" t="s">
        <v>306</v>
      </c>
      <c r="M836" t="s">
        <v>307</v>
      </c>
      <c r="N836" t="s">
        <v>1570</v>
      </c>
      <c r="O836" t="s">
        <v>82</v>
      </c>
      <c r="P836" t="str">
        <f>"4170063429                    "</f>
        <v xml:space="preserve">4170063429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122.88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11</v>
      </c>
      <c r="BJ836">
        <v>4.8</v>
      </c>
      <c r="BK836">
        <v>11</v>
      </c>
      <c r="BL836">
        <v>390</v>
      </c>
      <c r="BM836">
        <v>58.5</v>
      </c>
      <c r="BN836">
        <v>448.5</v>
      </c>
      <c r="BO836">
        <v>448.5</v>
      </c>
      <c r="BQ836" t="s">
        <v>1571</v>
      </c>
      <c r="BR836" t="s">
        <v>97</v>
      </c>
      <c r="BS836" s="3">
        <v>45938</v>
      </c>
      <c r="BT836" s="4">
        <v>0.59027777777777779</v>
      </c>
      <c r="BU836" t="s">
        <v>1572</v>
      </c>
      <c r="BV836" t="s">
        <v>90</v>
      </c>
      <c r="BY836">
        <v>24128</v>
      </c>
      <c r="CA836" t="s">
        <v>157</v>
      </c>
      <c r="CC836" t="s">
        <v>307</v>
      </c>
      <c r="CD836">
        <v>4113</v>
      </c>
      <c r="CE836" t="s">
        <v>107</v>
      </c>
      <c r="CF836" s="3">
        <v>45938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"080068375539"</f>
        <v>080068375539</v>
      </c>
      <c r="F837" s="3">
        <v>45937</v>
      </c>
      <c r="G837">
        <v>202607</v>
      </c>
      <c r="H837" t="s">
        <v>79</v>
      </c>
      <c r="I837" t="s">
        <v>80</v>
      </c>
      <c r="J837" t="s">
        <v>91</v>
      </c>
      <c r="K837" t="s">
        <v>78</v>
      </c>
      <c r="L837" t="s">
        <v>108</v>
      </c>
      <c r="M837" t="s">
        <v>109</v>
      </c>
      <c r="N837" t="s">
        <v>548</v>
      </c>
      <c r="O837" t="s">
        <v>82</v>
      </c>
      <c r="P837" t="str">
        <f>"4170063321                    "</f>
        <v xml:space="preserve">4170063321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39.11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3.4</v>
      </c>
      <c r="BK837">
        <v>3.5</v>
      </c>
      <c r="BL837">
        <v>124.13</v>
      </c>
      <c r="BM837">
        <v>18.62</v>
      </c>
      <c r="BN837">
        <v>142.75</v>
      </c>
      <c r="BO837">
        <v>142.75</v>
      </c>
      <c r="BQ837" t="s">
        <v>549</v>
      </c>
      <c r="BR837" t="s">
        <v>97</v>
      </c>
      <c r="BS837" s="3">
        <v>45938</v>
      </c>
      <c r="BT837" s="4">
        <v>0.35208333333333336</v>
      </c>
      <c r="BU837" t="s">
        <v>1573</v>
      </c>
      <c r="BV837" t="s">
        <v>86</v>
      </c>
      <c r="BY837">
        <v>16965</v>
      </c>
      <c r="CC837" t="s">
        <v>109</v>
      </c>
      <c r="CD837">
        <v>6001</v>
      </c>
      <c r="CE837" t="s">
        <v>191</v>
      </c>
      <c r="CF837" s="3">
        <v>45938</v>
      </c>
      <c r="CI837">
        <v>1</v>
      </c>
      <c r="CJ837">
        <v>1</v>
      </c>
      <c r="CK837">
        <v>21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"080068375577"</f>
        <v>080068375577</v>
      </c>
      <c r="F838" s="3">
        <v>45937</v>
      </c>
      <c r="G838">
        <v>202607</v>
      </c>
      <c r="H838" t="s">
        <v>79</v>
      </c>
      <c r="I838" t="s">
        <v>80</v>
      </c>
      <c r="J838" t="s">
        <v>91</v>
      </c>
      <c r="K838" t="s">
        <v>78</v>
      </c>
      <c r="L838" t="s">
        <v>223</v>
      </c>
      <c r="M838" t="s">
        <v>224</v>
      </c>
      <c r="N838" t="s">
        <v>1574</v>
      </c>
      <c r="O838" t="s">
        <v>226</v>
      </c>
      <c r="P838" t="str">
        <f>"4170063433                    "</f>
        <v xml:space="preserve">4170063433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19.43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7</v>
      </c>
      <c r="BJ838">
        <v>8.9</v>
      </c>
      <c r="BK838">
        <v>9</v>
      </c>
      <c r="BL838">
        <v>61.66</v>
      </c>
      <c r="BM838">
        <v>9.25</v>
      </c>
      <c r="BN838">
        <v>70.91</v>
      </c>
      <c r="BO838">
        <v>70.91</v>
      </c>
      <c r="BQ838" t="s">
        <v>1575</v>
      </c>
      <c r="BR838" t="s">
        <v>97</v>
      </c>
      <c r="BS838" s="3">
        <v>45938</v>
      </c>
      <c r="BT838" s="4">
        <v>0.3576388888888889</v>
      </c>
      <c r="BU838" t="s">
        <v>1576</v>
      </c>
      <c r="BV838" t="s">
        <v>86</v>
      </c>
      <c r="BY838">
        <v>44640</v>
      </c>
      <c r="CA838" t="s">
        <v>1459</v>
      </c>
      <c r="CC838" t="s">
        <v>224</v>
      </c>
      <c r="CD838">
        <v>1459</v>
      </c>
      <c r="CE838" t="s">
        <v>191</v>
      </c>
      <c r="CF838" s="3">
        <v>45938</v>
      </c>
      <c r="CI838">
        <v>1</v>
      </c>
      <c r="CJ838">
        <v>1</v>
      </c>
      <c r="CK838">
        <v>32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"080068375594"</f>
        <v>080068375594</v>
      </c>
      <c r="F839" s="3">
        <v>45937</v>
      </c>
      <c r="G839">
        <v>202607</v>
      </c>
      <c r="H839" t="s">
        <v>79</v>
      </c>
      <c r="I839" t="s">
        <v>80</v>
      </c>
      <c r="J839" t="s">
        <v>91</v>
      </c>
      <c r="K839" t="s">
        <v>78</v>
      </c>
      <c r="L839" t="s">
        <v>114</v>
      </c>
      <c r="M839" t="s">
        <v>115</v>
      </c>
      <c r="N839" t="s">
        <v>1577</v>
      </c>
      <c r="O839" t="s">
        <v>82</v>
      </c>
      <c r="P839" t="str">
        <f>"4170063308                    "</f>
        <v xml:space="preserve">4170063308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39.11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3.2</v>
      </c>
      <c r="BK839">
        <v>3.5</v>
      </c>
      <c r="BL839">
        <v>124.13</v>
      </c>
      <c r="BM839">
        <v>18.62</v>
      </c>
      <c r="BN839">
        <v>142.75</v>
      </c>
      <c r="BO839">
        <v>142.75</v>
      </c>
      <c r="BQ839" t="s">
        <v>1578</v>
      </c>
      <c r="BR839" t="s">
        <v>97</v>
      </c>
      <c r="BS839" s="3">
        <v>45938</v>
      </c>
      <c r="BT839" s="4">
        <v>0.5083333333333333</v>
      </c>
      <c r="BU839" t="s">
        <v>1579</v>
      </c>
      <c r="BV839" t="s">
        <v>90</v>
      </c>
      <c r="BY839">
        <v>16184</v>
      </c>
      <c r="CA839" t="s">
        <v>119</v>
      </c>
      <c r="CC839" t="s">
        <v>115</v>
      </c>
      <c r="CD839">
        <v>5201</v>
      </c>
      <c r="CE839" t="s">
        <v>107</v>
      </c>
      <c r="CF839" s="3">
        <v>45939</v>
      </c>
      <c r="CI839">
        <v>1</v>
      </c>
      <c r="CJ839">
        <v>1</v>
      </c>
      <c r="CK839">
        <v>21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"080068375630"</f>
        <v>080068375630</v>
      </c>
      <c r="F840" s="3">
        <v>45937</v>
      </c>
      <c r="G840">
        <v>202607</v>
      </c>
      <c r="H840" t="s">
        <v>79</v>
      </c>
      <c r="I840" t="s">
        <v>80</v>
      </c>
      <c r="J840" t="s">
        <v>91</v>
      </c>
      <c r="K840" t="s">
        <v>78</v>
      </c>
      <c r="L840" t="s">
        <v>108</v>
      </c>
      <c r="M840" t="s">
        <v>109</v>
      </c>
      <c r="N840" t="s">
        <v>515</v>
      </c>
      <c r="O840" t="s">
        <v>82</v>
      </c>
      <c r="P840" t="str">
        <f>"4170063396                    "</f>
        <v xml:space="preserve">4170063396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22.36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70.959999999999994</v>
      </c>
      <c r="BM840">
        <v>10.64</v>
      </c>
      <c r="BN840">
        <v>81.599999999999994</v>
      </c>
      <c r="BO840">
        <v>81.599999999999994</v>
      </c>
      <c r="BQ840" t="s">
        <v>516</v>
      </c>
      <c r="BR840" t="s">
        <v>97</v>
      </c>
      <c r="BS840" s="3">
        <v>45938</v>
      </c>
      <c r="BT840" s="4">
        <v>0.43680555555555556</v>
      </c>
      <c r="BU840" t="s">
        <v>1580</v>
      </c>
      <c r="BV840" t="s">
        <v>86</v>
      </c>
      <c r="BY840">
        <v>1200</v>
      </c>
      <c r="CA840" t="s">
        <v>1137</v>
      </c>
      <c r="CC840" t="s">
        <v>109</v>
      </c>
      <c r="CD840">
        <v>6001</v>
      </c>
      <c r="CE840" t="s">
        <v>147</v>
      </c>
      <c r="CF840" s="3">
        <v>45938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"080068375652"</f>
        <v>080068375652</v>
      </c>
      <c r="F841" s="3">
        <v>45937</v>
      </c>
      <c r="G841">
        <v>202607</v>
      </c>
      <c r="H841" t="s">
        <v>79</v>
      </c>
      <c r="I841" t="s">
        <v>80</v>
      </c>
      <c r="J841" t="s">
        <v>91</v>
      </c>
      <c r="K841" t="s">
        <v>78</v>
      </c>
      <c r="L841" t="s">
        <v>809</v>
      </c>
      <c r="M841" t="s">
        <v>810</v>
      </c>
      <c r="N841" t="s">
        <v>811</v>
      </c>
      <c r="O841" t="s">
        <v>82</v>
      </c>
      <c r="P841" t="str">
        <f>"4170063390                    "</f>
        <v xml:space="preserve">4170063390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17.46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2.2000000000000002</v>
      </c>
      <c r="BK841">
        <v>3</v>
      </c>
      <c r="BL841">
        <v>55.42</v>
      </c>
      <c r="BM841">
        <v>8.31</v>
      </c>
      <c r="BN841">
        <v>63.73</v>
      </c>
      <c r="BO841">
        <v>63.73</v>
      </c>
      <c r="BQ841" t="s">
        <v>812</v>
      </c>
      <c r="BR841" t="s">
        <v>97</v>
      </c>
      <c r="BS841" s="3">
        <v>45938</v>
      </c>
      <c r="BT841" s="4">
        <v>0.33819444444444446</v>
      </c>
      <c r="BU841" t="s">
        <v>1581</v>
      </c>
      <c r="BV841" t="s">
        <v>86</v>
      </c>
      <c r="BY841">
        <v>10933</v>
      </c>
      <c r="CA841" t="s">
        <v>1582</v>
      </c>
      <c r="CC841" t="s">
        <v>810</v>
      </c>
      <c r="CD841">
        <v>1724</v>
      </c>
      <c r="CE841" t="s">
        <v>1583</v>
      </c>
      <c r="CF841" s="3">
        <v>45938</v>
      </c>
      <c r="CI841">
        <v>1</v>
      </c>
      <c r="CJ841">
        <v>1</v>
      </c>
      <c r="CK841">
        <v>22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"080068375655"</f>
        <v>080068375655</v>
      </c>
      <c r="F842" s="3">
        <v>45937</v>
      </c>
      <c r="G842">
        <v>202607</v>
      </c>
      <c r="H842" t="s">
        <v>79</v>
      </c>
      <c r="I842" t="s">
        <v>80</v>
      </c>
      <c r="J842" t="s">
        <v>91</v>
      </c>
      <c r="K842" t="s">
        <v>78</v>
      </c>
      <c r="L842" t="s">
        <v>206</v>
      </c>
      <c r="M842" t="s">
        <v>207</v>
      </c>
      <c r="N842" t="s">
        <v>656</v>
      </c>
      <c r="O842" t="s">
        <v>82</v>
      </c>
      <c r="P842" t="str">
        <f>"4170063411                    "</f>
        <v xml:space="preserve">4170063411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22.36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70.959999999999994</v>
      </c>
      <c r="BM842">
        <v>10.64</v>
      </c>
      <c r="BN842">
        <v>81.599999999999994</v>
      </c>
      <c r="BO842">
        <v>81.599999999999994</v>
      </c>
      <c r="BQ842" t="s">
        <v>657</v>
      </c>
      <c r="BR842" t="s">
        <v>97</v>
      </c>
      <c r="BS842" s="3">
        <v>45938</v>
      </c>
      <c r="BT842" s="4">
        <v>0.42222222222222222</v>
      </c>
      <c r="BU842" t="s">
        <v>1442</v>
      </c>
      <c r="BV842" t="s">
        <v>86</v>
      </c>
      <c r="BY842">
        <v>1200</v>
      </c>
      <c r="CA842" t="s">
        <v>770</v>
      </c>
      <c r="CC842" t="s">
        <v>207</v>
      </c>
      <c r="CD842">
        <v>7441</v>
      </c>
      <c r="CE842" t="s">
        <v>147</v>
      </c>
      <c r="CF842" s="3">
        <v>45939</v>
      </c>
      <c r="CI842">
        <v>1</v>
      </c>
      <c r="CJ842">
        <v>1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"080068375678"</f>
        <v>080068375678</v>
      </c>
      <c r="F843" s="3">
        <v>45937</v>
      </c>
      <c r="G843">
        <v>202607</v>
      </c>
      <c r="H843" t="s">
        <v>79</v>
      </c>
      <c r="I843" t="s">
        <v>80</v>
      </c>
      <c r="J843" t="s">
        <v>91</v>
      </c>
      <c r="K843" t="s">
        <v>78</v>
      </c>
      <c r="L843" t="s">
        <v>306</v>
      </c>
      <c r="M843" t="s">
        <v>307</v>
      </c>
      <c r="N843" t="s">
        <v>308</v>
      </c>
      <c r="O843" t="s">
        <v>82</v>
      </c>
      <c r="P843" t="str">
        <f>"4170063360                    "</f>
        <v xml:space="preserve">4170063360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39.11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3.4</v>
      </c>
      <c r="BK843">
        <v>3.5</v>
      </c>
      <c r="BL843">
        <v>124.13</v>
      </c>
      <c r="BM843">
        <v>18.62</v>
      </c>
      <c r="BN843">
        <v>142.75</v>
      </c>
      <c r="BO843">
        <v>142.75</v>
      </c>
      <c r="BQ843" t="s">
        <v>309</v>
      </c>
      <c r="BR843" t="s">
        <v>97</v>
      </c>
      <c r="BS843" s="3">
        <v>45938</v>
      </c>
      <c r="BT843" s="4">
        <v>0.79305555555555551</v>
      </c>
      <c r="BU843" t="s">
        <v>1584</v>
      </c>
      <c r="BV843" t="s">
        <v>90</v>
      </c>
      <c r="BY843">
        <v>17160</v>
      </c>
      <c r="CA843" t="s">
        <v>157</v>
      </c>
      <c r="CC843" t="s">
        <v>307</v>
      </c>
      <c r="CD843">
        <v>4113</v>
      </c>
      <c r="CE843" t="s">
        <v>107</v>
      </c>
      <c r="CF843" s="3">
        <v>45938</v>
      </c>
      <c r="CI843">
        <v>1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"080068375690"</f>
        <v>080068375690</v>
      </c>
      <c r="F844" s="3">
        <v>45937</v>
      </c>
      <c r="G844">
        <v>202607</v>
      </c>
      <c r="H844" t="s">
        <v>79</v>
      </c>
      <c r="I844" t="s">
        <v>80</v>
      </c>
      <c r="J844" t="s">
        <v>91</v>
      </c>
      <c r="K844" t="s">
        <v>78</v>
      </c>
      <c r="L844" t="s">
        <v>148</v>
      </c>
      <c r="M844" t="s">
        <v>149</v>
      </c>
      <c r="N844" t="s">
        <v>819</v>
      </c>
      <c r="O844" t="s">
        <v>82</v>
      </c>
      <c r="P844" t="str">
        <f>"4170063301                    "</f>
        <v xml:space="preserve">4170063301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17.46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55.42</v>
      </c>
      <c r="BM844">
        <v>8.31</v>
      </c>
      <c r="BN844">
        <v>63.73</v>
      </c>
      <c r="BO844">
        <v>63.73</v>
      </c>
      <c r="BQ844" t="s">
        <v>820</v>
      </c>
      <c r="BR844" t="s">
        <v>97</v>
      </c>
      <c r="BS844" s="3">
        <v>45938</v>
      </c>
      <c r="BT844" s="4">
        <v>0.41319444444444442</v>
      </c>
      <c r="BU844" t="s">
        <v>1585</v>
      </c>
      <c r="BV844" t="s">
        <v>86</v>
      </c>
      <c r="BY844">
        <v>1200</v>
      </c>
      <c r="CA844" t="s">
        <v>1408</v>
      </c>
      <c r="CC844" t="s">
        <v>149</v>
      </c>
      <c r="CD844">
        <v>2197</v>
      </c>
      <c r="CE844" t="s">
        <v>147</v>
      </c>
      <c r="CF844" s="3">
        <v>45938</v>
      </c>
      <c r="CI844">
        <v>1</v>
      </c>
      <c r="CJ844">
        <v>1</v>
      </c>
      <c r="CK844">
        <v>22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"080068375705"</f>
        <v>080068375705</v>
      </c>
      <c r="F845" s="3">
        <v>45937</v>
      </c>
      <c r="G845">
        <v>202607</v>
      </c>
      <c r="H845" t="s">
        <v>79</v>
      </c>
      <c r="I845" t="s">
        <v>80</v>
      </c>
      <c r="J845" t="s">
        <v>91</v>
      </c>
      <c r="K845" t="s">
        <v>78</v>
      </c>
      <c r="L845" t="s">
        <v>1586</v>
      </c>
      <c r="M845" t="s">
        <v>1587</v>
      </c>
      <c r="N845" t="s">
        <v>1588</v>
      </c>
      <c r="O845" t="s">
        <v>82</v>
      </c>
      <c r="P845" t="str">
        <f>"4170063326                    "</f>
        <v xml:space="preserve">4170063326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22.36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2</v>
      </c>
      <c r="BK845">
        <v>2</v>
      </c>
      <c r="BL845">
        <v>70.959999999999994</v>
      </c>
      <c r="BM845">
        <v>10.64</v>
      </c>
      <c r="BN845">
        <v>81.599999999999994</v>
      </c>
      <c r="BO845">
        <v>81.599999999999994</v>
      </c>
      <c r="BQ845" t="s">
        <v>1589</v>
      </c>
      <c r="BR845" t="s">
        <v>97</v>
      </c>
      <c r="BS845" s="3">
        <v>45938</v>
      </c>
      <c r="BT845" s="4">
        <v>0.43333333333333335</v>
      </c>
      <c r="BU845" t="s">
        <v>1590</v>
      </c>
      <c r="BV845" t="s">
        <v>86</v>
      </c>
      <c r="BY845">
        <v>9900</v>
      </c>
      <c r="CA845" t="s">
        <v>1591</v>
      </c>
      <c r="CC845" t="s">
        <v>1587</v>
      </c>
      <c r="CD845">
        <v>4302</v>
      </c>
      <c r="CE845" t="s">
        <v>191</v>
      </c>
      <c r="CF845" s="3">
        <v>45939</v>
      </c>
      <c r="CI845">
        <v>1</v>
      </c>
      <c r="CJ845">
        <v>1</v>
      </c>
      <c r="CK845">
        <v>21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"080068375724"</f>
        <v>080068375724</v>
      </c>
      <c r="F846" s="3">
        <v>45937</v>
      </c>
      <c r="G846">
        <v>202607</v>
      </c>
      <c r="H846" t="s">
        <v>79</v>
      </c>
      <c r="I846" t="s">
        <v>80</v>
      </c>
      <c r="J846" t="s">
        <v>91</v>
      </c>
      <c r="K846" t="s">
        <v>78</v>
      </c>
      <c r="L846" t="s">
        <v>223</v>
      </c>
      <c r="M846" t="s">
        <v>224</v>
      </c>
      <c r="N846" t="s">
        <v>1592</v>
      </c>
      <c r="O846" t="s">
        <v>82</v>
      </c>
      <c r="P846" t="str">
        <f>"4170063270                    "</f>
        <v xml:space="preserve">4170063270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17.46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1.1000000000000001</v>
      </c>
      <c r="BK846">
        <v>2</v>
      </c>
      <c r="BL846">
        <v>55.42</v>
      </c>
      <c r="BM846">
        <v>8.31</v>
      </c>
      <c r="BN846">
        <v>63.73</v>
      </c>
      <c r="BO846">
        <v>63.73</v>
      </c>
      <c r="BQ846" t="s">
        <v>1593</v>
      </c>
      <c r="BR846" t="s">
        <v>97</v>
      </c>
      <c r="BS846" s="3">
        <v>45938</v>
      </c>
      <c r="BT846" s="4">
        <v>0.41388888888888886</v>
      </c>
      <c r="BU846" t="s">
        <v>1594</v>
      </c>
      <c r="BV846" t="s">
        <v>86</v>
      </c>
      <c r="BY846">
        <v>5320</v>
      </c>
      <c r="CA846" t="s">
        <v>1595</v>
      </c>
      <c r="CC846" t="s">
        <v>224</v>
      </c>
      <c r="CD846">
        <v>1459</v>
      </c>
      <c r="CE846" t="s">
        <v>191</v>
      </c>
      <c r="CF846" s="3">
        <v>45938</v>
      </c>
      <c r="CI846">
        <v>1</v>
      </c>
      <c r="CJ846">
        <v>1</v>
      </c>
      <c r="CK846">
        <v>22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"080068375741"</f>
        <v>080068375741</v>
      </c>
      <c r="F847" s="3">
        <v>45937</v>
      </c>
      <c r="G847">
        <v>202607</v>
      </c>
      <c r="H847" t="s">
        <v>79</v>
      </c>
      <c r="I847" t="s">
        <v>80</v>
      </c>
      <c r="J847" t="s">
        <v>91</v>
      </c>
      <c r="K847" t="s">
        <v>78</v>
      </c>
      <c r="L847" t="s">
        <v>92</v>
      </c>
      <c r="M847" t="s">
        <v>93</v>
      </c>
      <c r="N847" t="s">
        <v>601</v>
      </c>
      <c r="O847" t="s">
        <v>82</v>
      </c>
      <c r="P847" t="str">
        <f>"4170063305                    "</f>
        <v xml:space="preserve">4170063305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22.36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2</v>
      </c>
      <c r="BJ847">
        <v>0.9</v>
      </c>
      <c r="BK847">
        <v>2</v>
      </c>
      <c r="BL847">
        <v>70.959999999999994</v>
      </c>
      <c r="BM847">
        <v>10.64</v>
      </c>
      <c r="BN847">
        <v>81.599999999999994</v>
      </c>
      <c r="BO847">
        <v>81.599999999999994</v>
      </c>
      <c r="BQ847" t="s">
        <v>602</v>
      </c>
      <c r="BR847" t="s">
        <v>97</v>
      </c>
      <c r="BS847" s="3">
        <v>45938</v>
      </c>
      <c r="BT847" s="4">
        <v>0.34027777777777779</v>
      </c>
      <c r="BU847" t="s">
        <v>1596</v>
      </c>
      <c r="BV847" t="s">
        <v>86</v>
      </c>
      <c r="BY847">
        <v>4256</v>
      </c>
      <c r="CC847" t="s">
        <v>93</v>
      </c>
      <c r="CD847">
        <v>3212</v>
      </c>
      <c r="CE847" t="s">
        <v>191</v>
      </c>
      <c r="CF847" s="3">
        <v>45939</v>
      </c>
      <c r="CI847">
        <v>2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"080068375752"</f>
        <v>080068375752</v>
      </c>
      <c r="F848" s="3">
        <v>45937</v>
      </c>
      <c r="G848">
        <v>202607</v>
      </c>
      <c r="H848" t="s">
        <v>79</v>
      </c>
      <c r="I848" t="s">
        <v>80</v>
      </c>
      <c r="J848" t="s">
        <v>91</v>
      </c>
      <c r="K848" t="s">
        <v>78</v>
      </c>
      <c r="L848" t="s">
        <v>333</v>
      </c>
      <c r="M848" t="s">
        <v>334</v>
      </c>
      <c r="N848" t="s">
        <v>794</v>
      </c>
      <c r="O848" t="s">
        <v>82</v>
      </c>
      <c r="P848" t="str">
        <f>"4170063354                    "</f>
        <v xml:space="preserve">4170063354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22.36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</v>
      </c>
      <c r="BJ848">
        <v>1.1000000000000001</v>
      </c>
      <c r="BK848">
        <v>2</v>
      </c>
      <c r="BL848">
        <v>70.959999999999994</v>
      </c>
      <c r="BM848">
        <v>10.64</v>
      </c>
      <c r="BN848">
        <v>81.599999999999994</v>
      </c>
      <c r="BO848">
        <v>81.599999999999994</v>
      </c>
      <c r="BQ848" t="s">
        <v>795</v>
      </c>
      <c r="BR848" t="s">
        <v>97</v>
      </c>
      <c r="BS848" s="3">
        <v>45938</v>
      </c>
      <c r="BT848" s="4">
        <v>0.43055555555555558</v>
      </c>
      <c r="BU848" t="s">
        <v>796</v>
      </c>
      <c r="BV848" t="s">
        <v>86</v>
      </c>
      <c r="BY848">
        <v>5320</v>
      </c>
      <c r="CA848" t="s">
        <v>142</v>
      </c>
      <c r="CC848" t="s">
        <v>334</v>
      </c>
      <c r="CD848">
        <v>6220</v>
      </c>
      <c r="CE848" t="s">
        <v>191</v>
      </c>
      <c r="CF848" s="3">
        <v>45938</v>
      </c>
      <c r="CI848">
        <v>1</v>
      </c>
      <c r="CJ848">
        <v>1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"080068376229"</f>
        <v>080068376229</v>
      </c>
      <c r="F849" s="3">
        <v>45937</v>
      </c>
      <c r="G849">
        <v>202607</v>
      </c>
      <c r="H849" t="s">
        <v>79</v>
      </c>
      <c r="I849" t="s">
        <v>80</v>
      </c>
      <c r="J849" t="s">
        <v>91</v>
      </c>
      <c r="K849" t="s">
        <v>78</v>
      </c>
      <c r="L849" t="s">
        <v>530</v>
      </c>
      <c r="M849" t="s">
        <v>531</v>
      </c>
      <c r="N849" t="s">
        <v>754</v>
      </c>
      <c r="O849" t="s">
        <v>82</v>
      </c>
      <c r="P849" t="str">
        <f>"4170063439                    "</f>
        <v xml:space="preserve">4170063439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82.43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4</v>
      </c>
      <c r="BJ849">
        <v>3.4</v>
      </c>
      <c r="BK849">
        <v>4</v>
      </c>
      <c r="BL849">
        <v>261.63</v>
      </c>
      <c r="BM849">
        <v>39.24</v>
      </c>
      <c r="BN849">
        <v>300.87</v>
      </c>
      <c r="BO849">
        <v>300.87</v>
      </c>
      <c r="BQ849" t="s">
        <v>755</v>
      </c>
      <c r="BR849" t="s">
        <v>97</v>
      </c>
      <c r="BS849" s="3">
        <v>45938</v>
      </c>
      <c r="BT849" s="4">
        <v>0.50694444444444442</v>
      </c>
      <c r="BU849" t="s">
        <v>1597</v>
      </c>
      <c r="BV849" t="s">
        <v>86</v>
      </c>
      <c r="BY849">
        <v>16965</v>
      </c>
      <c r="CA849" t="s">
        <v>535</v>
      </c>
      <c r="CC849" t="s">
        <v>531</v>
      </c>
      <c r="CD849">
        <v>6850</v>
      </c>
      <c r="CE849" t="s">
        <v>191</v>
      </c>
      <c r="CF849" s="3">
        <v>45939</v>
      </c>
      <c r="CI849">
        <v>2</v>
      </c>
      <c r="CJ849">
        <v>1</v>
      </c>
      <c r="CK849">
        <v>23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"080068376233"</f>
        <v>080068376233</v>
      </c>
      <c r="F850" s="3">
        <v>45937</v>
      </c>
      <c r="G850">
        <v>202607</v>
      </c>
      <c r="H850" t="s">
        <v>79</v>
      </c>
      <c r="I850" t="s">
        <v>80</v>
      </c>
      <c r="J850" t="s">
        <v>91</v>
      </c>
      <c r="K850" t="s">
        <v>78</v>
      </c>
      <c r="L850" t="s">
        <v>333</v>
      </c>
      <c r="M850" t="s">
        <v>334</v>
      </c>
      <c r="N850" t="s">
        <v>1598</v>
      </c>
      <c r="O850" t="s">
        <v>82</v>
      </c>
      <c r="P850" t="str">
        <f>"4170063320                    "</f>
        <v xml:space="preserve">4170063320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22.36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70.959999999999994</v>
      </c>
      <c r="BM850">
        <v>10.64</v>
      </c>
      <c r="BN850">
        <v>81.599999999999994</v>
      </c>
      <c r="BO850">
        <v>81.599999999999994</v>
      </c>
      <c r="BQ850" t="s">
        <v>1599</v>
      </c>
      <c r="BR850" t="s">
        <v>97</v>
      </c>
      <c r="BS850" s="3">
        <v>45938</v>
      </c>
      <c r="BT850" s="4">
        <v>0.45069444444444445</v>
      </c>
      <c r="BU850" t="s">
        <v>337</v>
      </c>
      <c r="BV850" t="s">
        <v>90</v>
      </c>
      <c r="BY850">
        <v>1200</v>
      </c>
      <c r="CA850" t="s">
        <v>142</v>
      </c>
      <c r="CC850" t="s">
        <v>334</v>
      </c>
      <c r="CD850">
        <v>6220</v>
      </c>
      <c r="CE850" t="s">
        <v>147</v>
      </c>
      <c r="CF850" s="3">
        <v>45938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"080068376258"</f>
        <v>080068376258</v>
      </c>
      <c r="F851" s="3">
        <v>45937</v>
      </c>
      <c r="G851">
        <v>202607</v>
      </c>
      <c r="H851" t="s">
        <v>79</v>
      </c>
      <c r="I851" t="s">
        <v>80</v>
      </c>
      <c r="J851" t="s">
        <v>91</v>
      </c>
      <c r="K851" t="s">
        <v>78</v>
      </c>
      <c r="L851" t="s">
        <v>322</v>
      </c>
      <c r="M851" t="s">
        <v>322</v>
      </c>
      <c r="N851" t="s">
        <v>1231</v>
      </c>
      <c r="O851" t="s">
        <v>82</v>
      </c>
      <c r="P851" t="str">
        <f>"4170063224                    "</f>
        <v xml:space="preserve">4170063224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43.31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137.47</v>
      </c>
      <c r="BM851">
        <v>20.62</v>
      </c>
      <c r="BN851">
        <v>158.09</v>
      </c>
      <c r="BO851">
        <v>158.09</v>
      </c>
      <c r="BQ851" t="s">
        <v>1232</v>
      </c>
      <c r="BR851" t="s">
        <v>97</v>
      </c>
      <c r="BS851" s="3">
        <v>45938</v>
      </c>
      <c r="BT851" s="4">
        <v>0.54166666666666663</v>
      </c>
      <c r="BU851" t="s">
        <v>1233</v>
      </c>
      <c r="BV851" t="s">
        <v>86</v>
      </c>
      <c r="BY851">
        <v>1200</v>
      </c>
      <c r="CA851" t="s">
        <v>326</v>
      </c>
      <c r="CC851" t="s">
        <v>322</v>
      </c>
      <c r="CD851">
        <v>7646</v>
      </c>
      <c r="CE851" t="s">
        <v>147</v>
      </c>
      <c r="CF851" s="3">
        <v>45939</v>
      </c>
      <c r="CI851">
        <v>1</v>
      </c>
      <c r="CJ851">
        <v>1</v>
      </c>
      <c r="CK851">
        <v>23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"080068376261"</f>
        <v>080068376261</v>
      </c>
      <c r="F852" s="3">
        <v>45937</v>
      </c>
      <c r="G852">
        <v>202607</v>
      </c>
      <c r="H852" t="s">
        <v>79</v>
      </c>
      <c r="I852" t="s">
        <v>80</v>
      </c>
      <c r="J852" t="s">
        <v>91</v>
      </c>
      <c r="K852" t="s">
        <v>78</v>
      </c>
      <c r="L852" t="s">
        <v>206</v>
      </c>
      <c r="M852" t="s">
        <v>207</v>
      </c>
      <c r="N852" t="s">
        <v>458</v>
      </c>
      <c r="O852" t="s">
        <v>82</v>
      </c>
      <c r="P852" t="str">
        <f>"4170063206                    "</f>
        <v xml:space="preserve">4170063206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39.11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3.1</v>
      </c>
      <c r="BK852">
        <v>3.5</v>
      </c>
      <c r="BL852">
        <v>124.13</v>
      </c>
      <c r="BM852">
        <v>18.62</v>
      </c>
      <c r="BN852">
        <v>142.75</v>
      </c>
      <c r="BO852">
        <v>142.75</v>
      </c>
      <c r="BQ852" t="s">
        <v>459</v>
      </c>
      <c r="BR852" t="s">
        <v>97</v>
      </c>
      <c r="BS852" s="3">
        <v>45938</v>
      </c>
      <c r="BT852" s="4">
        <v>0.45833333333333331</v>
      </c>
      <c r="BU852" t="s">
        <v>1396</v>
      </c>
      <c r="BV852" t="s">
        <v>90</v>
      </c>
      <c r="BY852">
        <v>15694</v>
      </c>
      <c r="CA852" t="s">
        <v>461</v>
      </c>
      <c r="CC852" t="s">
        <v>207</v>
      </c>
      <c r="CD852">
        <v>7530</v>
      </c>
      <c r="CE852" t="s">
        <v>107</v>
      </c>
      <c r="CF852" s="3">
        <v>45939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"080068376277"</f>
        <v>080068376277</v>
      </c>
      <c r="F853" s="3">
        <v>45937</v>
      </c>
      <c r="G853">
        <v>202607</v>
      </c>
      <c r="H853" t="s">
        <v>79</v>
      </c>
      <c r="I853" t="s">
        <v>80</v>
      </c>
      <c r="J853" t="s">
        <v>91</v>
      </c>
      <c r="K853" t="s">
        <v>78</v>
      </c>
      <c r="L853" t="s">
        <v>206</v>
      </c>
      <c r="M853" t="s">
        <v>207</v>
      </c>
      <c r="N853" t="s">
        <v>477</v>
      </c>
      <c r="O853" t="s">
        <v>82</v>
      </c>
      <c r="P853" t="str">
        <f>"4170063257                    "</f>
        <v xml:space="preserve">4170063257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22.36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70.959999999999994</v>
      </c>
      <c r="BM853">
        <v>10.64</v>
      </c>
      <c r="BN853">
        <v>81.599999999999994</v>
      </c>
      <c r="BO853">
        <v>81.599999999999994</v>
      </c>
      <c r="BQ853" t="s">
        <v>478</v>
      </c>
      <c r="BR853" t="s">
        <v>97</v>
      </c>
      <c r="BS853" s="3">
        <v>45938</v>
      </c>
      <c r="BT853" s="4">
        <v>0.40763888888888888</v>
      </c>
      <c r="BU853" t="s">
        <v>1472</v>
      </c>
      <c r="BV853" t="s">
        <v>86</v>
      </c>
      <c r="BY853">
        <v>1200</v>
      </c>
      <c r="CA853" t="s">
        <v>480</v>
      </c>
      <c r="CC853" t="s">
        <v>207</v>
      </c>
      <c r="CD853">
        <v>7480</v>
      </c>
      <c r="CE853" t="s">
        <v>147</v>
      </c>
      <c r="CF853" s="3">
        <v>45939</v>
      </c>
      <c r="CI853">
        <v>1</v>
      </c>
      <c r="CJ853">
        <v>1</v>
      </c>
      <c r="CK853">
        <v>21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"080068376280"</f>
        <v>080068376280</v>
      </c>
      <c r="F854" s="3">
        <v>45937</v>
      </c>
      <c r="G854">
        <v>202607</v>
      </c>
      <c r="H854" t="s">
        <v>79</v>
      </c>
      <c r="I854" t="s">
        <v>80</v>
      </c>
      <c r="J854" t="s">
        <v>91</v>
      </c>
      <c r="K854" t="s">
        <v>78</v>
      </c>
      <c r="L854" t="s">
        <v>446</v>
      </c>
      <c r="M854" t="s">
        <v>447</v>
      </c>
      <c r="N854" t="s">
        <v>448</v>
      </c>
      <c r="O854" t="s">
        <v>82</v>
      </c>
      <c r="P854" t="str">
        <f>"4170063381                    "</f>
        <v xml:space="preserve">4170063381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43.31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</v>
      </c>
      <c r="BJ854">
        <v>1.7</v>
      </c>
      <c r="BK854">
        <v>2</v>
      </c>
      <c r="BL854">
        <v>137.47</v>
      </c>
      <c r="BM854">
        <v>20.62</v>
      </c>
      <c r="BN854">
        <v>158.09</v>
      </c>
      <c r="BO854">
        <v>158.09</v>
      </c>
      <c r="BQ854" t="s">
        <v>449</v>
      </c>
      <c r="BR854" t="s">
        <v>97</v>
      </c>
      <c r="BS854" s="3">
        <v>45938</v>
      </c>
      <c r="BT854" s="4">
        <v>0.53472222222222221</v>
      </c>
      <c r="BU854" t="s">
        <v>1537</v>
      </c>
      <c r="BV854" t="s">
        <v>86</v>
      </c>
      <c r="BY854">
        <v>8512</v>
      </c>
      <c r="CA854" t="s">
        <v>1124</v>
      </c>
      <c r="CC854" t="s">
        <v>447</v>
      </c>
      <c r="CD854">
        <v>7130</v>
      </c>
      <c r="CE854" t="s">
        <v>191</v>
      </c>
      <c r="CF854" s="3">
        <v>45939</v>
      </c>
      <c r="CI854">
        <v>1</v>
      </c>
      <c r="CJ854">
        <v>1</v>
      </c>
      <c r="CK854">
        <v>23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"080068376290"</f>
        <v>080068376290</v>
      </c>
      <c r="F855" s="3">
        <v>45937</v>
      </c>
      <c r="G855">
        <v>202607</v>
      </c>
      <c r="H855" t="s">
        <v>79</v>
      </c>
      <c r="I855" t="s">
        <v>80</v>
      </c>
      <c r="J855" t="s">
        <v>91</v>
      </c>
      <c r="K855" t="s">
        <v>78</v>
      </c>
      <c r="L855" t="s">
        <v>206</v>
      </c>
      <c r="M855" t="s">
        <v>207</v>
      </c>
      <c r="N855" t="s">
        <v>458</v>
      </c>
      <c r="O855" t="s">
        <v>82</v>
      </c>
      <c r="P855" t="str">
        <f>"4170063395                    "</f>
        <v xml:space="preserve">4170063395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22.36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70.959999999999994</v>
      </c>
      <c r="BM855">
        <v>10.64</v>
      </c>
      <c r="BN855">
        <v>81.599999999999994</v>
      </c>
      <c r="BO855">
        <v>81.599999999999994</v>
      </c>
      <c r="BQ855" t="s">
        <v>459</v>
      </c>
      <c r="BR855" t="s">
        <v>97</v>
      </c>
      <c r="BS855" s="3">
        <v>45938</v>
      </c>
      <c r="BT855" s="4">
        <v>0.45833333333333331</v>
      </c>
      <c r="BU855" t="s">
        <v>1396</v>
      </c>
      <c r="BV855" t="s">
        <v>90</v>
      </c>
      <c r="BY855">
        <v>1200</v>
      </c>
      <c r="CA855" t="s">
        <v>461</v>
      </c>
      <c r="CC855" t="s">
        <v>207</v>
      </c>
      <c r="CD855">
        <v>7530</v>
      </c>
      <c r="CE855" t="s">
        <v>147</v>
      </c>
      <c r="CF855" s="3">
        <v>45939</v>
      </c>
      <c r="CI855">
        <v>1</v>
      </c>
      <c r="CJ855">
        <v>1</v>
      </c>
      <c r="CK855">
        <v>21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"080068376311"</f>
        <v>080068376311</v>
      </c>
      <c r="F856" s="3">
        <v>45937</v>
      </c>
      <c r="G856">
        <v>202607</v>
      </c>
      <c r="H856" t="s">
        <v>79</v>
      </c>
      <c r="I856" t="s">
        <v>80</v>
      </c>
      <c r="J856" t="s">
        <v>91</v>
      </c>
      <c r="K856" t="s">
        <v>78</v>
      </c>
      <c r="L856" t="s">
        <v>121</v>
      </c>
      <c r="M856" t="s">
        <v>122</v>
      </c>
      <c r="N856" t="s">
        <v>154</v>
      </c>
      <c r="O856" t="s">
        <v>82</v>
      </c>
      <c r="P856" t="str">
        <f>"4170063415                    "</f>
        <v xml:space="preserve">4170063415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22.36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70.959999999999994</v>
      </c>
      <c r="BM856">
        <v>10.64</v>
      </c>
      <c r="BN856">
        <v>81.599999999999994</v>
      </c>
      <c r="BO856">
        <v>81.599999999999994</v>
      </c>
      <c r="BQ856" t="s">
        <v>155</v>
      </c>
      <c r="BR856" t="s">
        <v>97</v>
      </c>
      <c r="BS856" s="3">
        <v>45938</v>
      </c>
      <c r="BT856" s="4">
        <v>0.78819444444444442</v>
      </c>
      <c r="BU856" t="s">
        <v>156</v>
      </c>
      <c r="BV856" t="s">
        <v>90</v>
      </c>
      <c r="BY856">
        <v>1200</v>
      </c>
      <c r="CA856" t="s">
        <v>157</v>
      </c>
      <c r="CC856" t="s">
        <v>122</v>
      </c>
      <c r="CD856">
        <v>4052</v>
      </c>
      <c r="CE856" t="s">
        <v>147</v>
      </c>
      <c r="CF856" s="3">
        <v>45938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"080068376313"</f>
        <v>080068376313</v>
      </c>
      <c r="F857" s="3">
        <v>45937</v>
      </c>
      <c r="G857">
        <v>202607</v>
      </c>
      <c r="H857" t="s">
        <v>79</v>
      </c>
      <c r="I857" t="s">
        <v>80</v>
      </c>
      <c r="J857" t="s">
        <v>91</v>
      </c>
      <c r="K857" t="s">
        <v>78</v>
      </c>
      <c r="L857" t="s">
        <v>271</v>
      </c>
      <c r="M857" t="s">
        <v>272</v>
      </c>
      <c r="N857" t="s">
        <v>1600</v>
      </c>
      <c r="O857" t="s">
        <v>226</v>
      </c>
      <c r="P857" t="str">
        <f>"4170063255                    "</f>
        <v xml:space="preserve">4170063255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17.47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4</v>
      </c>
      <c r="BJ857">
        <v>1.8</v>
      </c>
      <c r="BK857">
        <v>4</v>
      </c>
      <c r="BL857">
        <v>55.44</v>
      </c>
      <c r="BM857">
        <v>8.32</v>
      </c>
      <c r="BN857">
        <v>63.76</v>
      </c>
      <c r="BO857">
        <v>63.76</v>
      </c>
      <c r="BQ857" t="s">
        <v>1601</v>
      </c>
      <c r="BR857" t="s">
        <v>97</v>
      </c>
      <c r="BS857" s="3">
        <v>45940</v>
      </c>
      <c r="BT857" s="4">
        <v>0.41666666666666669</v>
      </c>
      <c r="BU857" t="s">
        <v>1602</v>
      </c>
      <c r="BV857" t="s">
        <v>90</v>
      </c>
      <c r="BW857" t="s">
        <v>188</v>
      </c>
      <c r="BX857" t="s">
        <v>1529</v>
      </c>
      <c r="BY857">
        <v>8816</v>
      </c>
      <c r="CC857" t="s">
        <v>272</v>
      </c>
      <c r="CD857">
        <v>1428</v>
      </c>
      <c r="CE857" t="s">
        <v>191</v>
      </c>
      <c r="CF857" s="3">
        <v>45943</v>
      </c>
      <c r="CI857">
        <v>1</v>
      </c>
      <c r="CJ857">
        <v>3</v>
      </c>
      <c r="CK857">
        <v>32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"080068376321"</f>
        <v>080068376321</v>
      </c>
      <c r="F858" s="3">
        <v>45937</v>
      </c>
      <c r="G858">
        <v>202607</v>
      </c>
      <c r="H858" t="s">
        <v>79</v>
      </c>
      <c r="I858" t="s">
        <v>80</v>
      </c>
      <c r="J858" t="s">
        <v>91</v>
      </c>
      <c r="K858" t="s">
        <v>78</v>
      </c>
      <c r="L858" t="s">
        <v>114</v>
      </c>
      <c r="M858" t="s">
        <v>115</v>
      </c>
      <c r="N858" t="s">
        <v>746</v>
      </c>
      <c r="O858" t="s">
        <v>82</v>
      </c>
      <c r="P858" t="str">
        <f>"4170063348                    "</f>
        <v xml:space="preserve">4170063348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22.36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70.959999999999994</v>
      </c>
      <c r="BM858">
        <v>10.64</v>
      </c>
      <c r="BN858">
        <v>81.599999999999994</v>
      </c>
      <c r="BO858">
        <v>81.599999999999994</v>
      </c>
      <c r="BQ858" t="s">
        <v>747</v>
      </c>
      <c r="BR858" t="s">
        <v>97</v>
      </c>
      <c r="BS858" s="3">
        <v>45938</v>
      </c>
      <c r="BT858" s="4">
        <v>0.55347222222222225</v>
      </c>
      <c r="BU858" t="s">
        <v>748</v>
      </c>
      <c r="BV858" t="s">
        <v>90</v>
      </c>
      <c r="BY858">
        <v>1200</v>
      </c>
      <c r="CA858" t="s">
        <v>749</v>
      </c>
      <c r="CC858" t="s">
        <v>115</v>
      </c>
      <c r="CD858">
        <v>5200</v>
      </c>
      <c r="CE858" t="s">
        <v>147</v>
      </c>
      <c r="CF858" s="3">
        <v>45939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"080068376345"</f>
        <v>080068376345</v>
      </c>
      <c r="F859" s="3">
        <v>45937</v>
      </c>
      <c r="G859">
        <v>202607</v>
      </c>
      <c r="H859" t="s">
        <v>79</v>
      </c>
      <c r="I859" t="s">
        <v>80</v>
      </c>
      <c r="J859" t="s">
        <v>91</v>
      </c>
      <c r="K859" t="s">
        <v>78</v>
      </c>
      <c r="L859" t="s">
        <v>1603</v>
      </c>
      <c r="M859" t="s">
        <v>1604</v>
      </c>
      <c r="N859" t="s">
        <v>1605</v>
      </c>
      <c r="O859" t="s">
        <v>82</v>
      </c>
      <c r="P859" t="str">
        <f>"4170063306                    "</f>
        <v xml:space="preserve">4170063306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43.31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16.739999999999998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154.21</v>
      </c>
      <c r="BM859">
        <v>23.13</v>
      </c>
      <c r="BN859">
        <v>177.34</v>
      </c>
      <c r="BO859">
        <v>177.34</v>
      </c>
      <c r="BQ859" t="s">
        <v>1606</v>
      </c>
      <c r="BR859" t="s">
        <v>97</v>
      </c>
      <c r="BS859" s="3">
        <v>45939</v>
      </c>
      <c r="BT859" s="4">
        <v>0.48333333333333334</v>
      </c>
      <c r="BU859" t="s">
        <v>1607</v>
      </c>
      <c r="BV859" t="s">
        <v>86</v>
      </c>
      <c r="BY859">
        <v>1200</v>
      </c>
      <c r="BZ859" t="s">
        <v>30</v>
      </c>
      <c r="CC859" t="s">
        <v>1604</v>
      </c>
      <c r="CD859">
        <v>5660</v>
      </c>
      <c r="CE859" t="s">
        <v>147</v>
      </c>
      <c r="CF859" s="3">
        <v>45939</v>
      </c>
      <c r="CI859">
        <v>2</v>
      </c>
      <c r="CJ859">
        <v>2</v>
      </c>
      <c r="CK859">
        <v>23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"080068376359"</f>
        <v>080068376359</v>
      </c>
      <c r="F860" s="3">
        <v>45937</v>
      </c>
      <c r="G860">
        <v>202607</v>
      </c>
      <c r="H860" t="s">
        <v>79</v>
      </c>
      <c r="I860" t="s">
        <v>80</v>
      </c>
      <c r="J860" t="s">
        <v>91</v>
      </c>
      <c r="K860" t="s">
        <v>78</v>
      </c>
      <c r="L860" t="s">
        <v>102</v>
      </c>
      <c r="M860" t="s">
        <v>103</v>
      </c>
      <c r="N860" t="s">
        <v>560</v>
      </c>
      <c r="O860" t="s">
        <v>82</v>
      </c>
      <c r="P860" t="str">
        <f>"4170063323                    "</f>
        <v xml:space="preserve">4170063323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17.46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55.42</v>
      </c>
      <c r="BM860">
        <v>8.31</v>
      </c>
      <c r="BN860">
        <v>63.73</v>
      </c>
      <c r="BO860">
        <v>63.73</v>
      </c>
      <c r="BQ860" t="s">
        <v>561</v>
      </c>
      <c r="BR860" t="s">
        <v>97</v>
      </c>
      <c r="BS860" s="3">
        <v>45938</v>
      </c>
      <c r="BT860" s="4">
        <v>0.37916666666666665</v>
      </c>
      <c r="BU860" t="s">
        <v>1608</v>
      </c>
      <c r="BV860" t="s">
        <v>86</v>
      </c>
      <c r="BY860">
        <v>1200</v>
      </c>
      <c r="CA860" t="s">
        <v>621</v>
      </c>
      <c r="CC860" t="s">
        <v>103</v>
      </c>
      <c r="CD860">
        <v>1451</v>
      </c>
      <c r="CE860" t="s">
        <v>147</v>
      </c>
      <c r="CF860" s="3">
        <v>45939</v>
      </c>
      <c r="CI860">
        <v>1</v>
      </c>
      <c r="CJ860">
        <v>1</v>
      </c>
      <c r="CK860">
        <v>22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"080068376365"</f>
        <v>080068376365</v>
      </c>
      <c r="F861" s="3">
        <v>45937</v>
      </c>
      <c r="G861">
        <v>202607</v>
      </c>
      <c r="H861" t="s">
        <v>79</v>
      </c>
      <c r="I861" t="s">
        <v>80</v>
      </c>
      <c r="J861" t="s">
        <v>91</v>
      </c>
      <c r="K861" t="s">
        <v>78</v>
      </c>
      <c r="L861" t="s">
        <v>206</v>
      </c>
      <c r="M861" t="s">
        <v>207</v>
      </c>
      <c r="N861" t="s">
        <v>943</v>
      </c>
      <c r="O861" t="s">
        <v>82</v>
      </c>
      <c r="P861" t="str">
        <f>"4170063312                    "</f>
        <v xml:space="preserve">4170063312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22.36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1</v>
      </c>
      <c r="BK861">
        <v>1</v>
      </c>
      <c r="BL861">
        <v>70.959999999999994</v>
      </c>
      <c r="BM861">
        <v>10.64</v>
      </c>
      <c r="BN861">
        <v>81.599999999999994</v>
      </c>
      <c r="BO861">
        <v>81.599999999999994</v>
      </c>
      <c r="BQ861" t="s">
        <v>944</v>
      </c>
      <c r="BR861" t="s">
        <v>97</v>
      </c>
      <c r="BS861" s="3">
        <v>45938</v>
      </c>
      <c r="BT861" s="4">
        <v>0.44861111111111113</v>
      </c>
      <c r="BU861" t="s">
        <v>1609</v>
      </c>
      <c r="BV861" t="s">
        <v>90</v>
      </c>
      <c r="BY861">
        <v>5200</v>
      </c>
      <c r="CA861" t="s">
        <v>461</v>
      </c>
      <c r="CC861" t="s">
        <v>207</v>
      </c>
      <c r="CD861">
        <v>7535</v>
      </c>
      <c r="CE861" t="s">
        <v>107</v>
      </c>
      <c r="CF861" s="3">
        <v>45939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"080068376372"</f>
        <v>080068376372</v>
      </c>
      <c r="F862" s="3">
        <v>45937</v>
      </c>
      <c r="G862">
        <v>202607</v>
      </c>
      <c r="H862" t="s">
        <v>79</v>
      </c>
      <c r="I862" t="s">
        <v>80</v>
      </c>
      <c r="J862" t="s">
        <v>91</v>
      </c>
      <c r="K862" t="s">
        <v>78</v>
      </c>
      <c r="L862" t="s">
        <v>121</v>
      </c>
      <c r="M862" t="s">
        <v>122</v>
      </c>
      <c r="N862" t="s">
        <v>154</v>
      </c>
      <c r="O862" t="s">
        <v>82</v>
      </c>
      <c r="P862" t="str">
        <f>"4170063388                    "</f>
        <v xml:space="preserve">4170063388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22.36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70.959999999999994</v>
      </c>
      <c r="BM862">
        <v>10.64</v>
      </c>
      <c r="BN862">
        <v>81.599999999999994</v>
      </c>
      <c r="BO862">
        <v>81.599999999999994</v>
      </c>
      <c r="BQ862" t="s">
        <v>155</v>
      </c>
      <c r="BR862" t="s">
        <v>97</v>
      </c>
      <c r="BS862" s="3">
        <v>45938</v>
      </c>
      <c r="BT862" s="4">
        <v>0.78888888888888886</v>
      </c>
      <c r="BU862" t="s">
        <v>156</v>
      </c>
      <c r="BV862" t="s">
        <v>90</v>
      </c>
      <c r="BY862">
        <v>1200</v>
      </c>
      <c r="CA862" t="s">
        <v>157</v>
      </c>
      <c r="CC862" t="s">
        <v>122</v>
      </c>
      <c r="CD862">
        <v>4052</v>
      </c>
      <c r="CE862" t="s">
        <v>147</v>
      </c>
      <c r="CF862" s="3">
        <v>45938</v>
      </c>
      <c r="CI862">
        <v>1</v>
      </c>
      <c r="CJ862">
        <v>1</v>
      </c>
      <c r="CK862">
        <v>21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"080068376400"</f>
        <v>080068376400</v>
      </c>
      <c r="F863" s="3">
        <v>45937</v>
      </c>
      <c r="G863">
        <v>202607</v>
      </c>
      <c r="H863" t="s">
        <v>79</v>
      </c>
      <c r="I863" t="s">
        <v>80</v>
      </c>
      <c r="J863" t="s">
        <v>91</v>
      </c>
      <c r="K863" t="s">
        <v>78</v>
      </c>
      <c r="L863" t="s">
        <v>79</v>
      </c>
      <c r="M863" t="s">
        <v>80</v>
      </c>
      <c r="N863" t="s">
        <v>830</v>
      </c>
      <c r="O863" t="s">
        <v>82</v>
      </c>
      <c r="P863" t="str">
        <f>"4170063259                    "</f>
        <v xml:space="preserve">4170063259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17.46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55.42</v>
      </c>
      <c r="BM863">
        <v>8.31</v>
      </c>
      <c r="BN863">
        <v>63.73</v>
      </c>
      <c r="BO863">
        <v>63.73</v>
      </c>
      <c r="BQ863" t="s">
        <v>831</v>
      </c>
      <c r="BR863" t="s">
        <v>97</v>
      </c>
      <c r="BS863" s="3">
        <v>45938</v>
      </c>
      <c r="BT863" s="4">
        <v>0.40763888888888888</v>
      </c>
      <c r="BU863" t="s">
        <v>1610</v>
      </c>
      <c r="BV863" t="s">
        <v>86</v>
      </c>
      <c r="BY863">
        <v>1200</v>
      </c>
      <c r="CA863" t="s">
        <v>88</v>
      </c>
      <c r="CC863" t="s">
        <v>80</v>
      </c>
      <c r="CD863">
        <v>1619</v>
      </c>
      <c r="CE863" t="s">
        <v>147</v>
      </c>
      <c r="CF863" s="3">
        <v>45938</v>
      </c>
      <c r="CI863">
        <v>1</v>
      </c>
      <c r="CJ863">
        <v>1</v>
      </c>
      <c r="CK863">
        <v>22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"080068376401"</f>
        <v>080068376401</v>
      </c>
      <c r="F864" s="3">
        <v>45937</v>
      </c>
      <c r="G864">
        <v>202607</v>
      </c>
      <c r="H864" t="s">
        <v>79</v>
      </c>
      <c r="I864" t="s">
        <v>80</v>
      </c>
      <c r="J864" t="s">
        <v>91</v>
      </c>
      <c r="K864" t="s">
        <v>78</v>
      </c>
      <c r="L864" t="s">
        <v>530</v>
      </c>
      <c r="M864" t="s">
        <v>531</v>
      </c>
      <c r="N864" t="s">
        <v>754</v>
      </c>
      <c r="O864" t="s">
        <v>82</v>
      </c>
      <c r="P864" t="str">
        <f>"4170063438                    "</f>
        <v xml:space="preserve">4170063438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317.14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2</v>
      </c>
      <c r="BI864">
        <v>16</v>
      </c>
      <c r="BJ864">
        <v>8.1</v>
      </c>
      <c r="BK864">
        <v>16</v>
      </c>
      <c r="BL864">
        <v>1006.58</v>
      </c>
      <c r="BM864">
        <v>150.99</v>
      </c>
      <c r="BN864">
        <v>1157.57</v>
      </c>
      <c r="BO864">
        <v>1157.57</v>
      </c>
      <c r="BQ864" t="s">
        <v>755</v>
      </c>
      <c r="BR864" t="s">
        <v>97</v>
      </c>
      <c r="BS864" s="3">
        <v>45938</v>
      </c>
      <c r="BT864" s="4">
        <v>0.50624999999999998</v>
      </c>
      <c r="BU864" t="s">
        <v>1597</v>
      </c>
      <c r="BV864" t="s">
        <v>86</v>
      </c>
      <c r="BY864">
        <v>40716</v>
      </c>
      <c r="CA864" t="s">
        <v>535</v>
      </c>
      <c r="CC864" t="s">
        <v>531</v>
      </c>
      <c r="CD864">
        <v>6850</v>
      </c>
      <c r="CE864" t="s">
        <v>191</v>
      </c>
      <c r="CF864" s="3">
        <v>45939</v>
      </c>
      <c r="CI864">
        <v>2</v>
      </c>
      <c r="CJ864">
        <v>1</v>
      </c>
      <c r="CK864">
        <v>23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"080068376432"</f>
        <v>080068376432</v>
      </c>
      <c r="F865" s="3">
        <v>45937</v>
      </c>
      <c r="G865">
        <v>202607</v>
      </c>
      <c r="H865" t="s">
        <v>79</v>
      </c>
      <c r="I865" t="s">
        <v>80</v>
      </c>
      <c r="J865" t="s">
        <v>91</v>
      </c>
      <c r="K865" t="s">
        <v>78</v>
      </c>
      <c r="L865" t="s">
        <v>121</v>
      </c>
      <c r="M865" t="s">
        <v>122</v>
      </c>
      <c r="N865" t="s">
        <v>123</v>
      </c>
      <c r="O865" t="s">
        <v>95</v>
      </c>
      <c r="P865" t="str">
        <f>"4170063407                    "</f>
        <v xml:space="preserve">4170063407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78.930000000000007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35</v>
      </c>
      <c r="BJ865">
        <v>17.7</v>
      </c>
      <c r="BK865">
        <v>35</v>
      </c>
      <c r="BL865">
        <v>256.38</v>
      </c>
      <c r="BM865">
        <v>38.46</v>
      </c>
      <c r="BN865">
        <v>294.83999999999997</v>
      </c>
      <c r="BO865">
        <v>294.83999999999997</v>
      </c>
      <c r="BQ865" t="s">
        <v>124</v>
      </c>
      <c r="BR865" t="s">
        <v>97</v>
      </c>
      <c r="BS865" s="3">
        <v>45939</v>
      </c>
      <c r="BT865" s="4">
        <v>0.35833333333333334</v>
      </c>
      <c r="BU865" t="s">
        <v>1611</v>
      </c>
      <c r="BV865" t="s">
        <v>90</v>
      </c>
      <c r="BY865">
        <v>88320</v>
      </c>
      <c r="CA865" t="s">
        <v>126</v>
      </c>
      <c r="CC865" t="s">
        <v>122</v>
      </c>
      <c r="CD865">
        <v>4051</v>
      </c>
      <c r="CE865" t="s">
        <v>191</v>
      </c>
      <c r="CF865" s="3">
        <v>45939</v>
      </c>
      <c r="CI865">
        <v>1</v>
      </c>
      <c r="CJ865">
        <v>2</v>
      </c>
      <c r="CK865">
        <v>41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"080068376435"</f>
        <v>080068376435</v>
      </c>
      <c r="F866" s="3">
        <v>45937</v>
      </c>
      <c r="G866">
        <v>202607</v>
      </c>
      <c r="H866" t="s">
        <v>79</v>
      </c>
      <c r="I866" t="s">
        <v>80</v>
      </c>
      <c r="J866" t="s">
        <v>91</v>
      </c>
      <c r="K866" t="s">
        <v>78</v>
      </c>
      <c r="L866" t="s">
        <v>148</v>
      </c>
      <c r="M866" t="s">
        <v>149</v>
      </c>
      <c r="N866" t="s">
        <v>465</v>
      </c>
      <c r="O866" t="s">
        <v>82</v>
      </c>
      <c r="P866" t="str">
        <f>"4170063379                    "</f>
        <v xml:space="preserve">4170063379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17.46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1.8</v>
      </c>
      <c r="BK866">
        <v>2</v>
      </c>
      <c r="BL866">
        <v>55.42</v>
      </c>
      <c r="BM866">
        <v>8.31</v>
      </c>
      <c r="BN866">
        <v>63.73</v>
      </c>
      <c r="BO866">
        <v>63.73</v>
      </c>
      <c r="BQ866" t="s">
        <v>466</v>
      </c>
      <c r="BR866" t="s">
        <v>97</v>
      </c>
      <c r="BS866" s="3">
        <v>45938</v>
      </c>
      <c r="BT866" s="4">
        <v>0.42291666666666666</v>
      </c>
      <c r="BU866" t="s">
        <v>1612</v>
      </c>
      <c r="BV866" t="s">
        <v>86</v>
      </c>
      <c r="BY866">
        <v>8775</v>
      </c>
      <c r="CA866" t="s">
        <v>1408</v>
      </c>
      <c r="CC866" t="s">
        <v>149</v>
      </c>
      <c r="CD866">
        <v>2094</v>
      </c>
      <c r="CE866" t="s">
        <v>191</v>
      </c>
      <c r="CF866" s="3">
        <v>45938</v>
      </c>
      <c r="CI866">
        <v>1</v>
      </c>
      <c r="CJ866">
        <v>1</v>
      </c>
      <c r="CK866">
        <v>22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"080068376456"</f>
        <v>080068376456</v>
      </c>
      <c r="F867" s="3">
        <v>45937</v>
      </c>
      <c r="G867">
        <v>202607</v>
      </c>
      <c r="H867" t="s">
        <v>79</v>
      </c>
      <c r="I867" t="s">
        <v>80</v>
      </c>
      <c r="J867" t="s">
        <v>91</v>
      </c>
      <c r="K867" t="s">
        <v>78</v>
      </c>
      <c r="L867" t="s">
        <v>446</v>
      </c>
      <c r="M867" t="s">
        <v>447</v>
      </c>
      <c r="N867" t="s">
        <v>448</v>
      </c>
      <c r="O867" t="s">
        <v>82</v>
      </c>
      <c r="P867" t="str">
        <f>"4170063223                    "</f>
        <v xml:space="preserve">4170063223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82.43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3</v>
      </c>
      <c r="BJ867">
        <v>4</v>
      </c>
      <c r="BK867">
        <v>4</v>
      </c>
      <c r="BL867">
        <v>261.63</v>
      </c>
      <c r="BM867">
        <v>39.24</v>
      </c>
      <c r="BN867">
        <v>300.87</v>
      </c>
      <c r="BO867">
        <v>300.87</v>
      </c>
      <c r="BQ867" t="s">
        <v>449</v>
      </c>
      <c r="BR867" t="s">
        <v>97</v>
      </c>
      <c r="BS867" s="3">
        <v>45938</v>
      </c>
      <c r="BT867" s="4">
        <v>0.53472222222222221</v>
      </c>
      <c r="BU867" t="s">
        <v>1537</v>
      </c>
      <c r="BV867" t="s">
        <v>86</v>
      </c>
      <c r="BY867">
        <v>20216</v>
      </c>
      <c r="CA867" t="s">
        <v>1124</v>
      </c>
      <c r="CC867" t="s">
        <v>447</v>
      </c>
      <c r="CD867">
        <v>7130</v>
      </c>
      <c r="CE867" t="s">
        <v>107</v>
      </c>
      <c r="CF867" s="3">
        <v>45939</v>
      </c>
      <c r="CI867">
        <v>1</v>
      </c>
      <c r="CJ867">
        <v>1</v>
      </c>
      <c r="CK867">
        <v>23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"080068376468"</f>
        <v>080068376468</v>
      </c>
      <c r="F868" s="3">
        <v>45937</v>
      </c>
      <c r="G868">
        <v>202607</v>
      </c>
      <c r="H868" t="s">
        <v>79</v>
      </c>
      <c r="I868" t="s">
        <v>80</v>
      </c>
      <c r="J868" t="s">
        <v>91</v>
      </c>
      <c r="K868" t="s">
        <v>78</v>
      </c>
      <c r="L868" t="s">
        <v>218</v>
      </c>
      <c r="M868" t="s">
        <v>219</v>
      </c>
      <c r="N868" t="s">
        <v>1431</v>
      </c>
      <c r="O868" t="s">
        <v>82</v>
      </c>
      <c r="P868" t="str">
        <f>"4170063430                    "</f>
        <v xml:space="preserve">4170063430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17.46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1.9</v>
      </c>
      <c r="BK868">
        <v>2</v>
      </c>
      <c r="BL868">
        <v>55.42</v>
      </c>
      <c r="BM868">
        <v>8.31</v>
      </c>
      <c r="BN868">
        <v>63.73</v>
      </c>
      <c r="BO868">
        <v>63.73</v>
      </c>
      <c r="BQ868" t="s">
        <v>1432</v>
      </c>
      <c r="BR868" t="s">
        <v>97</v>
      </c>
      <c r="BS868" s="3">
        <v>45938</v>
      </c>
      <c r="BT868" s="4">
        <v>0.35416666666666669</v>
      </c>
      <c r="BU868" t="s">
        <v>1433</v>
      </c>
      <c r="BV868" t="s">
        <v>86</v>
      </c>
      <c r="BY868">
        <v>9600</v>
      </c>
      <c r="CA868" t="s">
        <v>1434</v>
      </c>
      <c r="CC868" t="s">
        <v>219</v>
      </c>
      <c r="CD868">
        <v>1559</v>
      </c>
      <c r="CE868" t="s">
        <v>191</v>
      </c>
      <c r="CF868" s="3">
        <v>45939</v>
      </c>
      <c r="CI868">
        <v>1</v>
      </c>
      <c r="CJ868">
        <v>1</v>
      </c>
      <c r="CK868">
        <v>22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"080068376476"</f>
        <v>080068376476</v>
      </c>
      <c r="F869" s="3">
        <v>45937</v>
      </c>
      <c r="G869">
        <v>202607</v>
      </c>
      <c r="H869" t="s">
        <v>79</v>
      </c>
      <c r="I869" t="s">
        <v>80</v>
      </c>
      <c r="J869" t="s">
        <v>91</v>
      </c>
      <c r="K869" t="s">
        <v>78</v>
      </c>
      <c r="L869" t="s">
        <v>168</v>
      </c>
      <c r="M869" t="s">
        <v>169</v>
      </c>
      <c r="N869" t="s">
        <v>1047</v>
      </c>
      <c r="O869" t="s">
        <v>82</v>
      </c>
      <c r="P869" t="str">
        <f>"4170063273                    "</f>
        <v xml:space="preserve">4170063273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22.36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1.1000000000000001</v>
      </c>
      <c r="BK869">
        <v>1.5</v>
      </c>
      <c r="BL869">
        <v>70.959999999999994</v>
      </c>
      <c r="BM869">
        <v>10.64</v>
      </c>
      <c r="BN869">
        <v>81.599999999999994</v>
      </c>
      <c r="BO869">
        <v>81.599999999999994</v>
      </c>
      <c r="BQ869" t="s">
        <v>1048</v>
      </c>
      <c r="BR869" t="s">
        <v>97</v>
      </c>
      <c r="BS869" s="3">
        <v>45938</v>
      </c>
      <c r="BT869" s="4">
        <v>0.39444444444444443</v>
      </c>
      <c r="BU869" t="s">
        <v>1049</v>
      </c>
      <c r="BV869" t="s">
        <v>86</v>
      </c>
      <c r="BY869">
        <v>5320</v>
      </c>
      <c r="CC869" t="s">
        <v>169</v>
      </c>
      <c r="CD869" s="5" t="s">
        <v>190</v>
      </c>
      <c r="CE869" t="s">
        <v>191</v>
      </c>
      <c r="CF869" s="3">
        <v>45938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"080068376499"</f>
        <v>080068376499</v>
      </c>
      <c r="F870" s="3">
        <v>45937</v>
      </c>
      <c r="G870">
        <v>202607</v>
      </c>
      <c r="H870" t="s">
        <v>79</v>
      </c>
      <c r="I870" t="s">
        <v>80</v>
      </c>
      <c r="J870" t="s">
        <v>91</v>
      </c>
      <c r="K870" t="s">
        <v>78</v>
      </c>
      <c r="L870" t="s">
        <v>350</v>
      </c>
      <c r="M870" t="s">
        <v>351</v>
      </c>
      <c r="N870" t="s">
        <v>1613</v>
      </c>
      <c r="O870" t="s">
        <v>82</v>
      </c>
      <c r="P870" t="str">
        <f>"4170063340                    "</f>
        <v xml:space="preserve">4170063340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62.87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2.6</v>
      </c>
      <c r="BJ870">
        <v>1.1000000000000001</v>
      </c>
      <c r="BK870">
        <v>3</v>
      </c>
      <c r="BL870">
        <v>199.55</v>
      </c>
      <c r="BM870">
        <v>29.93</v>
      </c>
      <c r="BN870">
        <v>229.48</v>
      </c>
      <c r="BO870">
        <v>229.48</v>
      </c>
      <c r="BQ870" t="s">
        <v>1614</v>
      </c>
      <c r="BR870" t="s">
        <v>97</v>
      </c>
      <c r="BS870" s="3">
        <v>45938</v>
      </c>
      <c r="BT870" s="4">
        <v>0.47569444444444442</v>
      </c>
      <c r="BU870" t="s">
        <v>1615</v>
      </c>
      <c r="BV870" t="s">
        <v>90</v>
      </c>
      <c r="BY870">
        <v>5289</v>
      </c>
      <c r="CA870" t="s">
        <v>1616</v>
      </c>
      <c r="CC870" t="s">
        <v>351</v>
      </c>
      <c r="CD870" s="5" t="s">
        <v>356</v>
      </c>
      <c r="CE870" t="s">
        <v>191</v>
      </c>
      <c r="CF870" s="3">
        <v>45939</v>
      </c>
      <c r="CI870">
        <v>1</v>
      </c>
      <c r="CJ870">
        <v>1</v>
      </c>
      <c r="CK870">
        <v>23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"080068376516"</f>
        <v>080068376516</v>
      </c>
      <c r="F871" s="3">
        <v>45937</v>
      </c>
      <c r="G871">
        <v>202607</v>
      </c>
      <c r="H871" t="s">
        <v>79</v>
      </c>
      <c r="I871" t="s">
        <v>80</v>
      </c>
      <c r="J871" t="s">
        <v>91</v>
      </c>
      <c r="K871" t="s">
        <v>78</v>
      </c>
      <c r="L871" t="s">
        <v>108</v>
      </c>
      <c r="M871" t="s">
        <v>109</v>
      </c>
      <c r="N871" t="s">
        <v>842</v>
      </c>
      <c r="O871" t="s">
        <v>95</v>
      </c>
      <c r="P871" t="str">
        <f>"4170063256                    "</f>
        <v xml:space="preserve">4170063256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55.72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22</v>
      </c>
      <c r="BJ871">
        <v>17.7</v>
      </c>
      <c r="BK871">
        <v>22</v>
      </c>
      <c r="BL871">
        <v>182.73</v>
      </c>
      <c r="BM871">
        <v>27.41</v>
      </c>
      <c r="BN871">
        <v>210.14</v>
      </c>
      <c r="BO871">
        <v>210.14</v>
      </c>
      <c r="BQ871" t="s">
        <v>843</v>
      </c>
      <c r="BR871" t="s">
        <v>97</v>
      </c>
      <c r="BS871" s="3">
        <v>45939</v>
      </c>
      <c r="BT871" s="4">
        <v>0.40625</v>
      </c>
      <c r="BU871" t="s">
        <v>1617</v>
      </c>
      <c r="BV871" t="s">
        <v>86</v>
      </c>
      <c r="BY871">
        <v>88320</v>
      </c>
      <c r="CA871" t="s">
        <v>1090</v>
      </c>
      <c r="CC871" t="s">
        <v>109</v>
      </c>
      <c r="CD871">
        <v>6012</v>
      </c>
      <c r="CE871" t="s">
        <v>191</v>
      </c>
      <c r="CF871" s="3">
        <v>45939</v>
      </c>
      <c r="CI871">
        <v>3</v>
      </c>
      <c r="CJ871">
        <v>2</v>
      </c>
      <c r="CK871">
        <v>41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"080068376535"</f>
        <v>080068376535</v>
      </c>
      <c r="F872" s="3">
        <v>45937</v>
      </c>
      <c r="G872">
        <v>202607</v>
      </c>
      <c r="H872" t="s">
        <v>79</v>
      </c>
      <c r="I872" t="s">
        <v>80</v>
      </c>
      <c r="J872" t="s">
        <v>91</v>
      </c>
      <c r="K872" t="s">
        <v>78</v>
      </c>
      <c r="L872" t="s">
        <v>108</v>
      </c>
      <c r="M872" t="s">
        <v>109</v>
      </c>
      <c r="N872" t="s">
        <v>256</v>
      </c>
      <c r="O872" t="s">
        <v>82</v>
      </c>
      <c r="P872" t="str">
        <f>"4170063260                    "</f>
        <v xml:space="preserve">4170063260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22.36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1.9</v>
      </c>
      <c r="BK872">
        <v>2</v>
      </c>
      <c r="BL872">
        <v>70.959999999999994</v>
      </c>
      <c r="BM872">
        <v>10.64</v>
      </c>
      <c r="BN872">
        <v>81.599999999999994</v>
      </c>
      <c r="BO872">
        <v>81.599999999999994</v>
      </c>
      <c r="BQ872" t="s">
        <v>257</v>
      </c>
      <c r="BR872" t="s">
        <v>97</v>
      </c>
      <c r="BS872" s="3">
        <v>45938</v>
      </c>
      <c r="BT872" s="4">
        <v>0.39305555555555555</v>
      </c>
      <c r="BU872" t="s">
        <v>1618</v>
      </c>
      <c r="BV872" t="s">
        <v>86</v>
      </c>
      <c r="BY872">
        <v>9600</v>
      </c>
      <c r="CA872" t="s">
        <v>142</v>
      </c>
      <c r="CC872" t="s">
        <v>109</v>
      </c>
      <c r="CD872">
        <v>6001</v>
      </c>
      <c r="CE872" t="s">
        <v>191</v>
      </c>
      <c r="CF872" s="3">
        <v>45938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"080068376558"</f>
        <v>080068376558</v>
      </c>
      <c r="F873" s="3">
        <v>45937</v>
      </c>
      <c r="G873">
        <v>202607</v>
      </c>
      <c r="H873" t="s">
        <v>79</v>
      </c>
      <c r="I873" t="s">
        <v>80</v>
      </c>
      <c r="J873" t="s">
        <v>91</v>
      </c>
      <c r="K873" t="s">
        <v>78</v>
      </c>
      <c r="L873" t="s">
        <v>406</v>
      </c>
      <c r="M873" t="s">
        <v>407</v>
      </c>
      <c r="N873" t="s">
        <v>797</v>
      </c>
      <c r="O873" t="s">
        <v>82</v>
      </c>
      <c r="P873" t="str">
        <f>"4170063249                    "</f>
        <v xml:space="preserve">4170063249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31.44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2</v>
      </c>
      <c r="BJ873">
        <v>1.1000000000000001</v>
      </c>
      <c r="BK873">
        <v>2</v>
      </c>
      <c r="BL873">
        <v>99.79</v>
      </c>
      <c r="BM873">
        <v>14.97</v>
      </c>
      <c r="BN873">
        <v>114.76</v>
      </c>
      <c r="BO873">
        <v>114.76</v>
      </c>
      <c r="BQ873" t="s">
        <v>798</v>
      </c>
      <c r="BR873" t="s">
        <v>97</v>
      </c>
      <c r="BS873" s="3">
        <v>45938</v>
      </c>
      <c r="BT873" s="4">
        <v>0.3923611111111111</v>
      </c>
      <c r="BU873" t="s">
        <v>1072</v>
      </c>
      <c r="BV873" t="s">
        <v>86</v>
      </c>
      <c r="BY873">
        <v>5510</v>
      </c>
      <c r="CA873" t="s">
        <v>1619</v>
      </c>
      <c r="CC873" t="s">
        <v>407</v>
      </c>
      <c r="CD873">
        <v>1438</v>
      </c>
      <c r="CE873" t="s">
        <v>191</v>
      </c>
      <c r="CF873" s="3">
        <v>45939</v>
      </c>
      <c r="CI873">
        <v>1</v>
      </c>
      <c r="CJ873">
        <v>1</v>
      </c>
      <c r="CK873">
        <v>24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"080068376589"</f>
        <v>080068376589</v>
      </c>
      <c r="F874" s="3">
        <v>45937</v>
      </c>
      <c r="G874">
        <v>202607</v>
      </c>
      <c r="H874" t="s">
        <v>79</v>
      </c>
      <c r="I874" t="s">
        <v>80</v>
      </c>
      <c r="J874" t="s">
        <v>91</v>
      </c>
      <c r="K874" t="s">
        <v>78</v>
      </c>
      <c r="L874" t="s">
        <v>206</v>
      </c>
      <c r="M874" t="s">
        <v>207</v>
      </c>
      <c r="N874" t="s">
        <v>1115</v>
      </c>
      <c r="O874" t="s">
        <v>82</v>
      </c>
      <c r="P874" t="str">
        <f>"4170063401                    "</f>
        <v xml:space="preserve">4170063401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22.36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70.959999999999994</v>
      </c>
      <c r="BM874">
        <v>10.64</v>
      </c>
      <c r="BN874">
        <v>81.599999999999994</v>
      </c>
      <c r="BO874">
        <v>81.599999999999994</v>
      </c>
      <c r="BQ874" t="s">
        <v>1116</v>
      </c>
      <c r="BR874" t="s">
        <v>97</v>
      </c>
      <c r="BS874" s="3">
        <v>45940</v>
      </c>
      <c r="BT874" s="4">
        <v>0.50763888888888886</v>
      </c>
      <c r="BU874" t="s">
        <v>554</v>
      </c>
      <c r="BV874" t="s">
        <v>90</v>
      </c>
      <c r="BY874">
        <v>1200</v>
      </c>
      <c r="CA874" t="s">
        <v>555</v>
      </c>
      <c r="CC874" t="s">
        <v>207</v>
      </c>
      <c r="CD874">
        <v>7405</v>
      </c>
      <c r="CE874" t="s">
        <v>147</v>
      </c>
      <c r="CF874" s="3">
        <v>45944</v>
      </c>
      <c r="CI874">
        <v>1</v>
      </c>
      <c r="CJ874">
        <v>3</v>
      </c>
      <c r="CK874">
        <v>21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"080068376625"</f>
        <v>080068376625</v>
      </c>
      <c r="F875" s="3">
        <v>45937</v>
      </c>
      <c r="G875">
        <v>202607</v>
      </c>
      <c r="H875" t="s">
        <v>79</v>
      </c>
      <c r="I875" t="s">
        <v>80</v>
      </c>
      <c r="J875" t="s">
        <v>91</v>
      </c>
      <c r="K875" t="s">
        <v>78</v>
      </c>
      <c r="L875" t="s">
        <v>453</v>
      </c>
      <c r="M875" t="s">
        <v>454</v>
      </c>
      <c r="N875" t="s">
        <v>665</v>
      </c>
      <c r="O875" t="s">
        <v>82</v>
      </c>
      <c r="P875" t="str">
        <f>"4170063279                    "</f>
        <v xml:space="preserve">4170063279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22.36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70.959999999999994</v>
      </c>
      <c r="BM875">
        <v>10.64</v>
      </c>
      <c r="BN875">
        <v>81.599999999999994</v>
      </c>
      <c r="BO875">
        <v>81.599999999999994</v>
      </c>
      <c r="BQ875" t="s">
        <v>666</v>
      </c>
      <c r="BR875" t="s">
        <v>97</v>
      </c>
      <c r="BS875" s="3">
        <v>45938</v>
      </c>
      <c r="BT875" s="4">
        <v>0.42222222222222222</v>
      </c>
      <c r="BU875" t="s">
        <v>1562</v>
      </c>
      <c r="BV875" t="s">
        <v>86</v>
      </c>
      <c r="BY875">
        <v>1200</v>
      </c>
      <c r="CA875" t="s">
        <v>742</v>
      </c>
      <c r="CC875" t="s">
        <v>454</v>
      </c>
      <c r="CD875">
        <v>3610</v>
      </c>
      <c r="CE875" t="s">
        <v>147</v>
      </c>
      <c r="CF875" s="3">
        <v>45939</v>
      </c>
      <c r="CI875">
        <v>1</v>
      </c>
      <c r="CJ875">
        <v>1</v>
      </c>
      <c r="CK875">
        <v>21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"080068376642"</f>
        <v>080068376642</v>
      </c>
      <c r="F876" s="3">
        <v>45937</v>
      </c>
      <c r="G876">
        <v>202607</v>
      </c>
      <c r="H876" t="s">
        <v>79</v>
      </c>
      <c r="I876" t="s">
        <v>80</v>
      </c>
      <c r="J876" t="s">
        <v>91</v>
      </c>
      <c r="K876" t="s">
        <v>78</v>
      </c>
      <c r="L876" t="s">
        <v>108</v>
      </c>
      <c r="M876" t="s">
        <v>109</v>
      </c>
      <c r="N876" t="s">
        <v>1203</v>
      </c>
      <c r="O876" t="s">
        <v>82</v>
      </c>
      <c r="P876" t="str">
        <f>"4170063394                    "</f>
        <v xml:space="preserve">4170063394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22.36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70.959999999999994</v>
      </c>
      <c r="BM876">
        <v>10.64</v>
      </c>
      <c r="BN876">
        <v>81.599999999999994</v>
      </c>
      <c r="BO876">
        <v>81.599999999999994</v>
      </c>
      <c r="BQ876" t="s">
        <v>1204</v>
      </c>
      <c r="BR876" t="s">
        <v>97</v>
      </c>
      <c r="BS876" s="3">
        <v>45938</v>
      </c>
      <c r="BT876" s="4">
        <v>0.39583333333333331</v>
      </c>
      <c r="BU876" t="s">
        <v>400</v>
      </c>
      <c r="BV876" t="s">
        <v>86</v>
      </c>
      <c r="BY876">
        <v>1200</v>
      </c>
      <c r="CA876" t="s">
        <v>1090</v>
      </c>
      <c r="CC876" t="s">
        <v>109</v>
      </c>
      <c r="CD876">
        <v>6012</v>
      </c>
      <c r="CE876" t="s">
        <v>147</v>
      </c>
      <c r="CF876" s="3">
        <v>45938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"009944129712"</f>
        <v>009944129712</v>
      </c>
      <c r="F877" s="3">
        <v>45937</v>
      </c>
      <c r="G877">
        <v>202607</v>
      </c>
      <c r="H877" t="s">
        <v>206</v>
      </c>
      <c r="I877" t="s">
        <v>207</v>
      </c>
      <c r="J877" t="s">
        <v>1118</v>
      </c>
      <c r="K877" t="s">
        <v>78</v>
      </c>
      <c r="L877" t="s">
        <v>121</v>
      </c>
      <c r="M877" t="s">
        <v>122</v>
      </c>
      <c r="N877" t="s">
        <v>81</v>
      </c>
      <c r="O877" t="s">
        <v>226</v>
      </c>
      <c r="P877" t="str">
        <f>"                              "</f>
        <v xml:space="preserve">          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230.54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4.5</v>
      </c>
      <c r="BJ877">
        <v>10.8</v>
      </c>
      <c r="BK877">
        <v>11</v>
      </c>
      <c r="BL877">
        <v>731.71</v>
      </c>
      <c r="BM877">
        <v>109.76</v>
      </c>
      <c r="BN877">
        <v>841.47</v>
      </c>
      <c r="BO877">
        <v>841.47</v>
      </c>
      <c r="BP877" t="s">
        <v>1620</v>
      </c>
      <c r="BQ877" t="s">
        <v>1621</v>
      </c>
      <c r="BR877" t="s">
        <v>1622</v>
      </c>
      <c r="BS877" s="3">
        <v>45938</v>
      </c>
      <c r="BT877" s="4">
        <v>0.48125000000000001</v>
      </c>
      <c r="BU877" t="s">
        <v>868</v>
      </c>
      <c r="BV877" t="s">
        <v>86</v>
      </c>
      <c r="BY877">
        <v>54000</v>
      </c>
      <c r="BZ877" t="s">
        <v>99</v>
      </c>
      <c r="CC877" t="s">
        <v>122</v>
      </c>
      <c r="CD877">
        <v>4017</v>
      </c>
      <c r="CE877" t="s">
        <v>89</v>
      </c>
      <c r="CF877" s="3">
        <v>45939</v>
      </c>
      <c r="CI877">
        <v>2</v>
      </c>
      <c r="CJ877">
        <v>1</v>
      </c>
      <c r="CK877">
        <v>31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"009944473725"</f>
        <v>009944473725</v>
      </c>
      <c r="F878" s="3">
        <v>45937</v>
      </c>
      <c r="G878">
        <v>202607</v>
      </c>
      <c r="H878" t="s">
        <v>206</v>
      </c>
      <c r="I878" t="s">
        <v>207</v>
      </c>
      <c r="J878" t="s">
        <v>1118</v>
      </c>
      <c r="K878" t="s">
        <v>78</v>
      </c>
      <c r="L878" t="s">
        <v>79</v>
      </c>
      <c r="M878" t="s">
        <v>80</v>
      </c>
      <c r="N878" t="s">
        <v>81</v>
      </c>
      <c r="O878" t="s">
        <v>226</v>
      </c>
      <c r="P878" t="str">
        <f>"                              "</f>
        <v xml:space="preserve">          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167.67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4.8</v>
      </c>
      <c r="BJ878">
        <v>7.7</v>
      </c>
      <c r="BK878">
        <v>8</v>
      </c>
      <c r="BL878">
        <v>532.16</v>
      </c>
      <c r="BM878">
        <v>79.819999999999993</v>
      </c>
      <c r="BN878">
        <v>611.98</v>
      </c>
      <c r="BO878">
        <v>611.98</v>
      </c>
      <c r="BP878" t="s">
        <v>1623</v>
      </c>
      <c r="BQ878" t="s">
        <v>1624</v>
      </c>
      <c r="BS878" s="3">
        <v>45938</v>
      </c>
      <c r="BT878" s="4">
        <v>0.4375</v>
      </c>
      <c r="BU878" t="s">
        <v>85</v>
      </c>
      <c r="BV878" t="s">
        <v>86</v>
      </c>
      <c r="BY878">
        <v>38662.800000000003</v>
      </c>
      <c r="BZ878" t="s">
        <v>99</v>
      </c>
      <c r="CA878" t="s">
        <v>573</v>
      </c>
      <c r="CC878" t="s">
        <v>80</v>
      </c>
      <c r="CD878">
        <v>1600</v>
      </c>
      <c r="CE878" t="s">
        <v>89</v>
      </c>
      <c r="CF878" s="3">
        <v>45939</v>
      </c>
      <c r="CI878">
        <v>1</v>
      </c>
      <c r="CJ878">
        <v>1</v>
      </c>
      <c r="CK878">
        <v>31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"080068374307"</f>
        <v>080068374307</v>
      </c>
      <c r="F879" s="3">
        <v>45937</v>
      </c>
      <c r="G879">
        <v>202607</v>
      </c>
      <c r="H879" t="s">
        <v>79</v>
      </c>
      <c r="I879" t="s">
        <v>80</v>
      </c>
      <c r="J879" t="s">
        <v>91</v>
      </c>
      <c r="K879" t="s">
        <v>78</v>
      </c>
      <c r="L879" t="s">
        <v>1625</v>
      </c>
      <c r="M879" t="s">
        <v>1626</v>
      </c>
      <c r="N879" t="s">
        <v>1627</v>
      </c>
      <c r="O879" t="s">
        <v>95</v>
      </c>
      <c r="P879" t="str">
        <f>"1826925029                    "</f>
        <v xml:space="preserve">1826925029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1546.45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371</v>
      </c>
      <c r="BJ879">
        <v>491.4</v>
      </c>
      <c r="BK879">
        <v>492</v>
      </c>
      <c r="BL879">
        <v>4914.16</v>
      </c>
      <c r="BM879">
        <v>737.12</v>
      </c>
      <c r="BN879">
        <v>5651.28</v>
      </c>
      <c r="BO879">
        <v>5651.28</v>
      </c>
      <c r="BQ879" t="s">
        <v>1628</v>
      </c>
      <c r="BR879" t="s">
        <v>97</v>
      </c>
      <c r="BS879" s="3">
        <v>45938</v>
      </c>
      <c r="BT879" s="4">
        <v>0.49861111111111112</v>
      </c>
      <c r="BU879" t="s">
        <v>1629</v>
      </c>
      <c r="BV879" t="s">
        <v>86</v>
      </c>
      <c r="BY879">
        <v>2457080</v>
      </c>
      <c r="CC879" t="s">
        <v>1626</v>
      </c>
      <c r="CD879">
        <v>2430</v>
      </c>
      <c r="CE879" t="s">
        <v>724</v>
      </c>
      <c r="CF879" s="3">
        <v>45938</v>
      </c>
      <c r="CI879">
        <v>1</v>
      </c>
      <c r="CJ879">
        <v>1</v>
      </c>
      <c r="CK879">
        <v>43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"080068387708"</f>
        <v>080068387708</v>
      </c>
      <c r="F880" s="3">
        <v>45938</v>
      </c>
      <c r="G880">
        <v>202607</v>
      </c>
      <c r="H880" t="s">
        <v>79</v>
      </c>
      <c r="I880" t="s">
        <v>80</v>
      </c>
      <c r="J880" t="s">
        <v>91</v>
      </c>
      <c r="K880" t="s">
        <v>78</v>
      </c>
      <c r="L880" t="s">
        <v>121</v>
      </c>
      <c r="M880" t="s">
        <v>122</v>
      </c>
      <c r="N880" t="s">
        <v>707</v>
      </c>
      <c r="O880" t="s">
        <v>82</v>
      </c>
      <c r="P880" t="str">
        <f>"4170063369                    "</f>
        <v xml:space="preserve">4170063369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22.36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70.959999999999994</v>
      </c>
      <c r="BM880">
        <v>10.64</v>
      </c>
      <c r="BN880">
        <v>81.599999999999994</v>
      </c>
      <c r="BO880">
        <v>81.599999999999994</v>
      </c>
      <c r="BQ880" t="s">
        <v>708</v>
      </c>
      <c r="BR880" t="s">
        <v>97</v>
      </c>
      <c r="BS880" s="3">
        <v>45939</v>
      </c>
      <c r="BT880" s="4">
        <v>0.42777777777777776</v>
      </c>
      <c r="BU880" t="s">
        <v>1630</v>
      </c>
      <c r="BV880" t="s">
        <v>86</v>
      </c>
      <c r="BY880">
        <v>1200</v>
      </c>
      <c r="CA880" t="s">
        <v>651</v>
      </c>
      <c r="CC880" t="s">
        <v>122</v>
      </c>
      <c r="CD880">
        <v>4001</v>
      </c>
      <c r="CE880" t="s">
        <v>147</v>
      </c>
      <c r="CF880" s="3">
        <v>45940</v>
      </c>
      <c r="CI880">
        <v>1</v>
      </c>
      <c r="CJ880">
        <v>1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"080068388492"</f>
        <v>080068388492</v>
      </c>
      <c r="F881" s="3">
        <v>45938</v>
      </c>
      <c r="G881">
        <v>202607</v>
      </c>
      <c r="H881" t="s">
        <v>79</v>
      </c>
      <c r="I881" t="s">
        <v>80</v>
      </c>
      <c r="J881" t="s">
        <v>91</v>
      </c>
      <c r="K881" t="s">
        <v>78</v>
      </c>
      <c r="L881" t="s">
        <v>446</v>
      </c>
      <c r="M881" t="s">
        <v>447</v>
      </c>
      <c r="N881" t="s">
        <v>1631</v>
      </c>
      <c r="O881" t="s">
        <v>82</v>
      </c>
      <c r="P881" t="str">
        <f>"4170063437                    "</f>
        <v xml:space="preserve">4170063437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72.650000000000006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2</v>
      </c>
      <c r="BJ881">
        <v>3.4</v>
      </c>
      <c r="BK881">
        <v>3.5</v>
      </c>
      <c r="BL881">
        <v>230.59</v>
      </c>
      <c r="BM881">
        <v>34.590000000000003</v>
      </c>
      <c r="BN881">
        <v>265.18</v>
      </c>
      <c r="BO881">
        <v>265.18</v>
      </c>
      <c r="BQ881" t="s">
        <v>1632</v>
      </c>
      <c r="BR881" t="s">
        <v>97</v>
      </c>
      <c r="BS881" s="3">
        <v>45939</v>
      </c>
      <c r="BT881" s="4">
        <v>0.45624999999999999</v>
      </c>
      <c r="BU881" t="s">
        <v>1633</v>
      </c>
      <c r="BV881" t="s">
        <v>86</v>
      </c>
      <c r="BY881">
        <v>16965</v>
      </c>
      <c r="CA881" t="s">
        <v>452</v>
      </c>
      <c r="CC881" t="s">
        <v>447</v>
      </c>
      <c r="CD881">
        <v>7130</v>
      </c>
      <c r="CE881" t="s">
        <v>191</v>
      </c>
      <c r="CF881" s="3">
        <v>45940</v>
      </c>
      <c r="CI881">
        <v>1</v>
      </c>
      <c r="CJ881">
        <v>1</v>
      </c>
      <c r="CK881">
        <v>23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"080068388526"</f>
        <v>080068388526</v>
      </c>
      <c r="F882" s="3">
        <v>45938</v>
      </c>
      <c r="G882">
        <v>202607</v>
      </c>
      <c r="H882" t="s">
        <v>79</v>
      </c>
      <c r="I882" t="s">
        <v>80</v>
      </c>
      <c r="J882" t="s">
        <v>91</v>
      </c>
      <c r="K882" t="s">
        <v>78</v>
      </c>
      <c r="L882" t="s">
        <v>108</v>
      </c>
      <c r="M882" t="s">
        <v>109</v>
      </c>
      <c r="N882" t="s">
        <v>382</v>
      </c>
      <c r="O882" t="s">
        <v>82</v>
      </c>
      <c r="P882" t="str">
        <f>"4170063519                    "</f>
        <v xml:space="preserve">4170063519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178.72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16</v>
      </c>
      <c r="BJ882">
        <v>3.4</v>
      </c>
      <c r="BK882">
        <v>16</v>
      </c>
      <c r="BL882">
        <v>567.24</v>
      </c>
      <c r="BM882">
        <v>85.09</v>
      </c>
      <c r="BN882">
        <v>652.33000000000004</v>
      </c>
      <c r="BO882">
        <v>652.33000000000004</v>
      </c>
      <c r="BQ882" t="s">
        <v>383</v>
      </c>
      <c r="BR882" t="s">
        <v>97</v>
      </c>
      <c r="BS882" s="3">
        <v>45939</v>
      </c>
      <c r="BT882" s="4">
        <v>0.43402777777777779</v>
      </c>
      <c r="BU882" t="s">
        <v>1634</v>
      </c>
      <c r="BV882" t="s">
        <v>86</v>
      </c>
      <c r="BY882">
        <v>16965</v>
      </c>
      <c r="CA882" t="s">
        <v>1137</v>
      </c>
      <c r="CC882" t="s">
        <v>109</v>
      </c>
      <c r="CD882">
        <v>6001</v>
      </c>
      <c r="CE882" t="s">
        <v>191</v>
      </c>
      <c r="CF882" s="3">
        <v>45939</v>
      </c>
      <c r="CI882">
        <v>1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"080068388545"</f>
        <v>080068388545</v>
      </c>
      <c r="F883" s="3">
        <v>45938</v>
      </c>
      <c r="G883">
        <v>202607</v>
      </c>
      <c r="H883" t="s">
        <v>79</v>
      </c>
      <c r="I883" t="s">
        <v>80</v>
      </c>
      <c r="J883" t="s">
        <v>91</v>
      </c>
      <c r="K883" t="s">
        <v>78</v>
      </c>
      <c r="L883" t="s">
        <v>453</v>
      </c>
      <c r="M883" t="s">
        <v>454</v>
      </c>
      <c r="N883" t="s">
        <v>665</v>
      </c>
      <c r="O883" t="s">
        <v>82</v>
      </c>
      <c r="P883" t="str">
        <f>"4170063524                    "</f>
        <v xml:space="preserve">4170063524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22.36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1.1000000000000001</v>
      </c>
      <c r="BK883">
        <v>1.5</v>
      </c>
      <c r="BL883">
        <v>70.959999999999994</v>
      </c>
      <c r="BM883">
        <v>10.64</v>
      </c>
      <c r="BN883">
        <v>81.599999999999994</v>
      </c>
      <c r="BO883">
        <v>81.599999999999994</v>
      </c>
      <c r="BQ883" t="s">
        <v>666</v>
      </c>
      <c r="BR883" t="s">
        <v>97</v>
      </c>
      <c r="BS883" s="3">
        <v>45939</v>
      </c>
      <c r="BT883" s="4">
        <v>0.43541666666666667</v>
      </c>
      <c r="BU883" t="s">
        <v>1562</v>
      </c>
      <c r="BV883" t="s">
        <v>86</v>
      </c>
      <c r="BY883">
        <v>5510</v>
      </c>
      <c r="CA883" t="s">
        <v>742</v>
      </c>
      <c r="CC883" t="s">
        <v>454</v>
      </c>
      <c r="CD883">
        <v>3610</v>
      </c>
      <c r="CE883" t="s">
        <v>191</v>
      </c>
      <c r="CF883" s="3">
        <v>45940</v>
      </c>
      <c r="CI883">
        <v>1</v>
      </c>
      <c r="CJ883">
        <v>1</v>
      </c>
      <c r="CK883">
        <v>21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"080068388598"</f>
        <v>080068388598</v>
      </c>
      <c r="F884" s="3">
        <v>45938</v>
      </c>
      <c r="G884">
        <v>202607</v>
      </c>
      <c r="H884" t="s">
        <v>79</v>
      </c>
      <c r="I884" t="s">
        <v>80</v>
      </c>
      <c r="J884" t="s">
        <v>91</v>
      </c>
      <c r="K884" t="s">
        <v>78</v>
      </c>
      <c r="L884" t="s">
        <v>985</v>
      </c>
      <c r="M884" t="s">
        <v>986</v>
      </c>
      <c r="N884" t="s">
        <v>1409</v>
      </c>
      <c r="O884" t="s">
        <v>82</v>
      </c>
      <c r="P884" t="str">
        <f>"4170062718                    "</f>
        <v xml:space="preserve">4170062718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22.36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70.959999999999994</v>
      </c>
      <c r="BM884">
        <v>10.64</v>
      </c>
      <c r="BN884">
        <v>81.599999999999994</v>
      </c>
      <c r="BO884">
        <v>81.599999999999994</v>
      </c>
      <c r="BQ884" t="s">
        <v>1410</v>
      </c>
      <c r="BR884" t="s">
        <v>97</v>
      </c>
      <c r="BS884" s="3">
        <v>45939</v>
      </c>
      <c r="BT884" s="4">
        <v>0.3840277777777778</v>
      </c>
      <c r="BU884" t="s">
        <v>1635</v>
      </c>
      <c r="BV884" t="s">
        <v>86</v>
      </c>
      <c r="BY884">
        <v>1200</v>
      </c>
      <c r="CA884" t="s">
        <v>990</v>
      </c>
      <c r="CC884" t="s">
        <v>986</v>
      </c>
      <c r="CD884">
        <v>7600</v>
      </c>
      <c r="CE884" t="s">
        <v>147</v>
      </c>
      <c r="CF884" s="3">
        <v>45940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"080068388630"</f>
        <v>080068388630</v>
      </c>
      <c r="F885" s="3">
        <v>45938</v>
      </c>
      <c r="G885">
        <v>202607</v>
      </c>
      <c r="H885" t="s">
        <v>79</v>
      </c>
      <c r="I885" t="s">
        <v>80</v>
      </c>
      <c r="J885" t="s">
        <v>91</v>
      </c>
      <c r="K885" t="s">
        <v>78</v>
      </c>
      <c r="L885" t="s">
        <v>271</v>
      </c>
      <c r="M885" t="s">
        <v>272</v>
      </c>
      <c r="N885" t="s">
        <v>1188</v>
      </c>
      <c r="O885" t="s">
        <v>82</v>
      </c>
      <c r="P885" t="str">
        <f>"4170063227                    "</f>
        <v xml:space="preserve">4170063227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17.46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55.42</v>
      </c>
      <c r="BM885">
        <v>8.31</v>
      </c>
      <c r="BN885">
        <v>63.73</v>
      </c>
      <c r="BO885">
        <v>63.73</v>
      </c>
      <c r="BQ885" t="s">
        <v>1189</v>
      </c>
      <c r="BR885" t="s">
        <v>97</v>
      </c>
      <c r="BS885" s="3">
        <v>45939</v>
      </c>
      <c r="BT885" s="4">
        <v>0.35138888888888886</v>
      </c>
      <c r="BU885" t="s">
        <v>1035</v>
      </c>
      <c r="BV885" t="s">
        <v>86</v>
      </c>
      <c r="BY885">
        <v>1200</v>
      </c>
      <c r="CA885" t="s">
        <v>661</v>
      </c>
      <c r="CC885" t="s">
        <v>272</v>
      </c>
      <c r="CD885">
        <v>1428</v>
      </c>
      <c r="CE885" t="s">
        <v>147</v>
      </c>
      <c r="CF885" s="3">
        <v>45940</v>
      </c>
      <c r="CI885">
        <v>1</v>
      </c>
      <c r="CJ885">
        <v>1</v>
      </c>
      <c r="CK885">
        <v>22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"080068388663"</f>
        <v>080068388663</v>
      </c>
      <c r="F886" s="3">
        <v>45938</v>
      </c>
      <c r="G886">
        <v>202607</v>
      </c>
      <c r="H886" t="s">
        <v>79</v>
      </c>
      <c r="I886" t="s">
        <v>80</v>
      </c>
      <c r="J886" t="s">
        <v>91</v>
      </c>
      <c r="K886" t="s">
        <v>78</v>
      </c>
      <c r="L886" t="s">
        <v>322</v>
      </c>
      <c r="M886" t="s">
        <v>322</v>
      </c>
      <c r="N886" t="s">
        <v>483</v>
      </c>
      <c r="O886" t="s">
        <v>82</v>
      </c>
      <c r="P886" t="str">
        <f>"4170063531                    "</f>
        <v xml:space="preserve">4170063531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43.31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137.47</v>
      </c>
      <c r="BM886">
        <v>20.62</v>
      </c>
      <c r="BN886">
        <v>158.09</v>
      </c>
      <c r="BO886">
        <v>158.09</v>
      </c>
      <c r="BQ886" t="s">
        <v>486</v>
      </c>
      <c r="BR886" t="s">
        <v>97</v>
      </c>
      <c r="BS886" s="3">
        <v>45939</v>
      </c>
      <c r="BT886" s="4">
        <v>0.44722222222222224</v>
      </c>
      <c r="BU886" t="s">
        <v>1636</v>
      </c>
      <c r="BV886" t="s">
        <v>86</v>
      </c>
      <c r="BY886">
        <v>1200</v>
      </c>
      <c r="CA886" t="s">
        <v>1637</v>
      </c>
      <c r="CC886" t="s">
        <v>322</v>
      </c>
      <c r="CD886">
        <v>7646</v>
      </c>
      <c r="CE886" t="s">
        <v>147</v>
      </c>
      <c r="CF886" s="3">
        <v>45940</v>
      </c>
      <c r="CI886">
        <v>1</v>
      </c>
      <c r="CJ886">
        <v>1</v>
      </c>
      <c r="CK886">
        <v>23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"080068388804"</f>
        <v>080068388804</v>
      </c>
      <c r="F887" s="3">
        <v>45938</v>
      </c>
      <c r="G887">
        <v>202607</v>
      </c>
      <c r="H887" t="s">
        <v>79</v>
      </c>
      <c r="I887" t="s">
        <v>80</v>
      </c>
      <c r="J887" t="s">
        <v>91</v>
      </c>
      <c r="K887" t="s">
        <v>78</v>
      </c>
      <c r="L887" t="s">
        <v>1638</v>
      </c>
      <c r="M887" t="s">
        <v>1639</v>
      </c>
      <c r="N887" t="s">
        <v>1640</v>
      </c>
      <c r="O887" t="s">
        <v>95</v>
      </c>
      <c r="P887" t="str">
        <f>"4170063426                    "</f>
        <v xml:space="preserve">4170063426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400.42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45</v>
      </c>
      <c r="BJ887">
        <v>123.5</v>
      </c>
      <c r="BK887">
        <v>124</v>
      </c>
      <c r="BL887">
        <v>1276.77</v>
      </c>
      <c r="BM887">
        <v>191.52</v>
      </c>
      <c r="BN887">
        <v>1468.29</v>
      </c>
      <c r="BO887">
        <v>1468.29</v>
      </c>
      <c r="BQ887" t="s">
        <v>1641</v>
      </c>
      <c r="BR887" t="s">
        <v>97</v>
      </c>
      <c r="BS887" s="3">
        <v>45939</v>
      </c>
      <c r="BT887" s="4">
        <v>0.54722222222222228</v>
      </c>
      <c r="BU887" t="s">
        <v>1642</v>
      </c>
      <c r="BV887" t="s">
        <v>86</v>
      </c>
      <c r="BY887">
        <v>617706</v>
      </c>
      <c r="CA887" t="s">
        <v>1643</v>
      </c>
      <c r="CC887" t="s">
        <v>1639</v>
      </c>
      <c r="CD887">
        <v>1390</v>
      </c>
      <c r="CE887" t="s">
        <v>1122</v>
      </c>
      <c r="CF887" s="3">
        <v>45940</v>
      </c>
      <c r="CI887">
        <v>1</v>
      </c>
      <c r="CJ887">
        <v>1</v>
      </c>
      <c r="CK887">
        <v>43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"080068388933"</f>
        <v>080068388933</v>
      </c>
      <c r="F888" s="3">
        <v>45938</v>
      </c>
      <c r="G888">
        <v>202607</v>
      </c>
      <c r="H888" t="s">
        <v>79</v>
      </c>
      <c r="I888" t="s">
        <v>80</v>
      </c>
      <c r="J888" t="s">
        <v>91</v>
      </c>
      <c r="K888" t="s">
        <v>78</v>
      </c>
      <c r="L888" t="s">
        <v>322</v>
      </c>
      <c r="M888" t="s">
        <v>322</v>
      </c>
      <c r="N888" t="s">
        <v>1231</v>
      </c>
      <c r="O888" t="s">
        <v>82</v>
      </c>
      <c r="P888" t="str">
        <f>"4170063431                    "</f>
        <v xml:space="preserve">4170063431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101.99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5</v>
      </c>
      <c r="BJ888">
        <v>3.4</v>
      </c>
      <c r="BK888">
        <v>5</v>
      </c>
      <c r="BL888">
        <v>323.70999999999998</v>
      </c>
      <c r="BM888">
        <v>48.56</v>
      </c>
      <c r="BN888">
        <v>372.27</v>
      </c>
      <c r="BO888">
        <v>372.27</v>
      </c>
      <c r="BQ888" t="s">
        <v>1232</v>
      </c>
      <c r="BR888" t="s">
        <v>97</v>
      </c>
      <c r="BS888" s="3">
        <v>45939</v>
      </c>
      <c r="BT888" s="4">
        <v>0.44374999999999998</v>
      </c>
      <c r="BU888" t="s">
        <v>1644</v>
      </c>
      <c r="BV888" t="s">
        <v>86</v>
      </c>
      <c r="BY888">
        <v>16965</v>
      </c>
      <c r="CA888" t="s">
        <v>1637</v>
      </c>
      <c r="CC888" t="s">
        <v>322</v>
      </c>
      <c r="CD888">
        <v>7646</v>
      </c>
      <c r="CE888" t="s">
        <v>191</v>
      </c>
      <c r="CF888" s="3">
        <v>45940</v>
      </c>
      <c r="CI888">
        <v>1</v>
      </c>
      <c r="CJ888">
        <v>1</v>
      </c>
      <c r="CK888">
        <v>23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"080068388943"</f>
        <v>080068388943</v>
      </c>
      <c r="F889" s="3">
        <v>45938</v>
      </c>
      <c r="G889">
        <v>202607</v>
      </c>
      <c r="H889" t="s">
        <v>79</v>
      </c>
      <c r="I889" t="s">
        <v>80</v>
      </c>
      <c r="J889" t="s">
        <v>91</v>
      </c>
      <c r="K889" t="s">
        <v>78</v>
      </c>
      <c r="L889" t="s">
        <v>121</v>
      </c>
      <c r="M889" t="s">
        <v>122</v>
      </c>
      <c r="N889" t="s">
        <v>123</v>
      </c>
      <c r="O889" t="s">
        <v>82</v>
      </c>
      <c r="P889" t="str">
        <f>"4170063464                    "</f>
        <v xml:space="preserve">4170063464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22.36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70.959999999999994</v>
      </c>
      <c r="BM889">
        <v>10.64</v>
      </c>
      <c r="BN889">
        <v>81.599999999999994</v>
      </c>
      <c r="BO889">
        <v>81.599999999999994</v>
      </c>
      <c r="BQ889" t="s">
        <v>124</v>
      </c>
      <c r="BR889" t="s">
        <v>97</v>
      </c>
      <c r="BS889" s="3">
        <v>45939</v>
      </c>
      <c r="BT889" s="4">
        <v>0.35833333333333334</v>
      </c>
      <c r="BU889" t="s">
        <v>1611</v>
      </c>
      <c r="BV889" t="s">
        <v>86</v>
      </c>
      <c r="BY889">
        <v>1200</v>
      </c>
      <c r="CA889" t="s">
        <v>126</v>
      </c>
      <c r="CC889" t="s">
        <v>122</v>
      </c>
      <c r="CD889">
        <v>4000</v>
      </c>
      <c r="CE889" t="s">
        <v>147</v>
      </c>
      <c r="CF889" s="3">
        <v>45939</v>
      </c>
      <c r="CI889">
        <v>1</v>
      </c>
      <c r="CJ889">
        <v>1</v>
      </c>
      <c r="CK889">
        <v>21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"080068388960"</f>
        <v>080068388960</v>
      </c>
      <c r="F890" s="3">
        <v>45938</v>
      </c>
      <c r="G890">
        <v>202607</v>
      </c>
      <c r="H890" t="s">
        <v>79</v>
      </c>
      <c r="I890" t="s">
        <v>80</v>
      </c>
      <c r="J890" t="s">
        <v>91</v>
      </c>
      <c r="K890" t="s">
        <v>78</v>
      </c>
      <c r="L890" t="s">
        <v>121</v>
      </c>
      <c r="M890" t="s">
        <v>122</v>
      </c>
      <c r="N890" t="s">
        <v>123</v>
      </c>
      <c r="O890" t="s">
        <v>82</v>
      </c>
      <c r="P890" t="str">
        <f>"4170063528                    "</f>
        <v xml:space="preserve">4170063528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22.36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2</v>
      </c>
      <c r="BJ890">
        <v>1.1000000000000001</v>
      </c>
      <c r="BK890">
        <v>2</v>
      </c>
      <c r="BL890">
        <v>70.959999999999994</v>
      </c>
      <c r="BM890">
        <v>10.64</v>
      </c>
      <c r="BN890">
        <v>81.599999999999994</v>
      </c>
      <c r="BO890">
        <v>81.599999999999994</v>
      </c>
      <c r="BQ890" t="s">
        <v>124</v>
      </c>
      <c r="BR890" t="s">
        <v>97</v>
      </c>
      <c r="BS890" s="3">
        <v>45939</v>
      </c>
      <c r="BT890" s="4">
        <v>0.35833333333333334</v>
      </c>
      <c r="BU890" t="s">
        <v>1611</v>
      </c>
      <c r="BV890" t="s">
        <v>86</v>
      </c>
      <c r="BY890">
        <v>5510</v>
      </c>
      <c r="CA890" t="s">
        <v>126</v>
      </c>
      <c r="CC890" t="s">
        <v>122</v>
      </c>
      <c r="CD890">
        <v>4051</v>
      </c>
      <c r="CE890" t="s">
        <v>191</v>
      </c>
      <c r="CF890" s="3">
        <v>45939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"080068388973"</f>
        <v>080068388973</v>
      </c>
      <c r="F891" s="3">
        <v>45938</v>
      </c>
      <c r="G891">
        <v>202607</v>
      </c>
      <c r="H891" t="s">
        <v>79</v>
      </c>
      <c r="I891" t="s">
        <v>80</v>
      </c>
      <c r="J891" t="s">
        <v>91</v>
      </c>
      <c r="K891" t="s">
        <v>78</v>
      </c>
      <c r="L891" t="s">
        <v>148</v>
      </c>
      <c r="M891" t="s">
        <v>149</v>
      </c>
      <c r="N891" t="s">
        <v>952</v>
      </c>
      <c r="O891" t="s">
        <v>82</v>
      </c>
      <c r="P891" t="str">
        <f>"4170063525                    "</f>
        <v xml:space="preserve">4170063525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17.46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55.42</v>
      </c>
      <c r="BM891">
        <v>8.31</v>
      </c>
      <c r="BN891">
        <v>63.73</v>
      </c>
      <c r="BO891">
        <v>63.73</v>
      </c>
      <c r="BQ891" t="s">
        <v>953</v>
      </c>
      <c r="BR891" t="s">
        <v>97</v>
      </c>
      <c r="BS891" s="3">
        <v>45939</v>
      </c>
      <c r="BT891" s="4">
        <v>0.41666666666666669</v>
      </c>
      <c r="BU891" t="s">
        <v>1645</v>
      </c>
      <c r="BV891" t="s">
        <v>86</v>
      </c>
      <c r="BY891">
        <v>1200</v>
      </c>
      <c r="CA891" t="s">
        <v>1217</v>
      </c>
      <c r="CC891" t="s">
        <v>149</v>
      </c>
      <c r="CD891">
        <v>2091</v>
      </c>
      <c r="CE891" t="s">
        <v>147</v>
      </c>
      <c r="CF891" s="3">
        <v>45940</v>
      </c>
      <c r="CI891">
        <v>1</v>
      </c>
      <c r="CJ891">
        <v>1</v>
      </c>
      <c r="CK891">
        <v>22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"080068388985"</f>
        <v>080068388985</v>
      </c>
      <c r="F892" s="3">
        <v>45938</v>
      </c>
      <c r="G892">
        <v>202607</v>
      </c>
      <c r="H892" t="s">
        <v>79</v>
      </c>
      <c r="I892" t="s">
        <v>80</v>
      </c>
      <c r="J892" t="s">
        <v>91</v>
      </c>
      <c r="K892" t="s">
        <v>78</v>
      </c>
      <c r="L892" t="s">
        <v>108</v>
      </c>
      <c r="M892" t="s">
        <v>109</v>
      </c>
      <c r="N892" t="s">
        <v>515</v>
      </c>
      <c r="O892" t="s">
        <v>82</v>
      </c>
      <c r="P892" t="str">
        <f>"4170063405                    "</f>
        <v xml:space="preserve">4170063405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22.36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0.7</v>
      </c>
      <c r="BK892">
        <v>1</v>
      </c>
      <c r="BL892">
        <v>70.959999999999994</v>
      </c>
      <c r="BM892">
        <v>10.64</v>
      </c>
      <c r="BN892">
        <v>81.599999999999994</v>
      </c>
      <c r="BO892">
        <v>81.599999999999994</v>
      </c>
      <c r="BQ892" t="s">
        <v>516</v>
      </c>
      <c r="BR892" t="s">
        <v>97</v>
      </c>
      <c r="BS892" s="3">
        <v>45939</v>
      </c>
      <c r="BT892" s="4">
        <v>0.4375</v>
      </c>
      <c r="BU892" t="s">
        <v>1289</v>
      </c>
      <c r="BV892" t="s">
        <v>86</v>
      </c>
      <c r="BY892">
        <v>3306</v>
      </c>
      <c r="CA892" t="s">
        <v>1137</v>
      </c>
      <c r="CC892" t="s">
        <v>109</v>
      </c>
      <c r="CD892">
        <v>6001</v>
      </c>
      <c r="CE892" t="s">
        <v>191</v>
      </c>
      <c r="CF892" s="3">
        <v>45940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"080068389045"</f>
        <v>080068389045</v>
      </c>
      <c r="F893" s="3">
        <v>45938</v>
      </c>
      <c r="G893">
        <v>202607</v>
      </c>
      <c r="H893" t="s">
        <v>79</v>
      </c>
      <c r="I893" t="s">
        <v>80</v>
      </c>
      <c r="J893" t="s">
        <v>91</v>
      </c>
      <c r="K893" t="s">
        <v>78</v>
      </c>
      <c r="L893" t="s">
        <v>206</v>
      </c>
      <c r="M893" t="s">
        <v>207</v>
      </c>
      <c r="N893" t="s">
        <v>1646</v>
      </c>
      <c r="O893" t="s">
        <v>82</v>
      </c>
      <c r="P893" t="str">
        <f>"4170063543                    "</f>
        <v xml:space="preserve">4170063543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22.36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70.959999999999994</v>
      </c>
      <c r="BM893">
        <v>10.64</v>
      </c>
      <c r="BN893">
        <v>81.599999999999994</v>
      </c>
      <c r="BO893">
        <v>81.599999999999994</v>
      </c>
      <c r="BQ893" t="s">
        <v>1647</v>
      </c>
      <c r="BR893" t="s">
        <v>97</v>
      </c>
      <c r="BS893" s="3">
        <v>45939</v>
      </c>
      <c r="BT893" s="4">
        <v>0.54236111111111107</v>
      </c>
      <c r="BU893" t="s">
        <v>1648</v>
      </c>
      <c r="BV893" t="s">
        <v>90</v>
      </c>
      <c r="BW893" t="s">
        <v>347</v>
      </c>
      <c r="BX893" t="s">
        <v>1649</v>
      </c>
      <c r="BY893">
        <v>1200</v>
      </c>
      <c r="CA893" t="s">
        <v>1650</v>
      </c>
      <c r="CC893" t="s">
        <v>207</v>
      </c>
      <c r="CD893">
        <v>7550</v>
      </c>
      <c r="CE893" t="s">
        <v>147</v>
      </c>
      <c r="CF893" s="3">
        <v>45940</v>
      </c>
      <c r="CI893">
        <v>1</v>
      </c>
      <c r="CJ893">
        <v>1</v>
      </c>
      <c r="CK893">
        <v>21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"080068389143"</f>
        <v>080068389143</v>
      </c>
      <c r="F894" s="3">
        <v>45938</v>
      </c>
      <c r="G894">
        <v>202607</v>
      </c>
      <c r="H894" t="s">
        <v>79</v>
      </c>
      <c r="I894" t="s">
        <v>80</v>
      </c>
      <c r="J894" t="s">
        <v>91</v>
      </c>
      <c r="K894" t="s">
        <v>78</v>
      </c>
      <c r="L894" t="s">
        <v>75</v>
      </c>
      <c r="M894" t="s">
        <v>76</v>
      </c>
      <c r="N894" t="s">
        <v>1329</v>
      </c>
      <c r="O894" t="s">
        <v>82</v>
      </c>
      <c r="P894" t="str">
        <f>"4170063534                    "</f>
        <v xml:space="preserve">4170063534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17.46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0.9</v>
      </c>
      <c r="BK894">
        <v>1</v>
      </c>
      <c r="BL894">
        <v>55.42</v>
      </c>
      <c r="BM894">
        <v>8.31</v>
      </c>
      <c r="BN894">
        <v>63.73</v>
      </c>
      <c r="BO894">
        <v>63.73</v>
      </c>
      <c r="BQ894" t="s">
        <v>1330</v>
      </c>
      <c r="BR894" t="s">
        <v>97</v>
      </c>
      <c r="BS894" s="3">
        <v>45939</v>
      </c>
      <c r="BT894" s="4">
        <v>0.54027777777777775</v>
      </c>
      <c r="BU894" t="s">
        <v>1651</v>
      </c>
      <c r="BV894" t="s">
        <v>90</v>
      </c>
      <c r="BW894" t="s">
        <v>188</v>
      </c>
      <c r="BX894" t="s">
        <v>1652</v>
      </c>
      <c r="BY894">
        <v>4275</v>
      </c>
      <c r="CA894" t="s">
        <v>1503</v>
      </c>
      <c r="CC894" t="s">
        <v>76</v>
      </c>
      <c r="CD894">
        <v>2162</v>
      </c>
      <c r="CE894" t="s">
        <v>191</v>
      </c>
      <c r="CF894" s="3">
        <v>45939</v>
      </c>
      <c r="CI894">
        <v>1</v>
      </c>
      <c r="CJ894">
        <v>1</v>
      </c>
      <c r="CK894">
        <v>22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"080068389227"</f>
        <v>080068389227</v>
      </c>
      <c r="F895" s="3">
        <v>45938</v>
      </c>
      <c r="G895">
        <v>202607</v>
      </c>
      <c r="H895" t="s">
        <v>79</v>
      </c>
      <c r="I895" t="s">
        <v>80</v>
      </c>
      <c r="J895" t="s">
        <v>91</v>
      </c>
      <c r="K895" t="s">
        <v>78</v>
      </c>
      <c r="L895" t="s">
        <v>763</v>
      </c>
      <c r="M895" t="s">
        <v>764</v>
      </c>
      <c r="N895" t="s">
        <v>765</v>
      </c>
      <c r="O895" t="s">
        <v>82</v>
      </c>
      <c r="P895" t="str">
        <f>"4170063558                    "</f>
        <v xml:space="preserve">4170063558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43.31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1.1000000000000001</v>
      </c>
      <c r="BJ895">
        <v>1</v>
      </c>
      <c r="BK895">
        <v>1.5</v>
      </c>
      <c r="BL895">
        <v>137.47</v>
      </c>
      <c r="BM895">
        <v>20.62</v>
      </c>
      <c r="BN895">
        <v>158.09</v>
      </c>
      <c r="BO895">
        <v>158.09</v>
      </c>
      <c r="BQ895" t="s">
        <v>766</v>
      </c>
      <c r="BR895" t="s">
        <v>97</v>
      </c>
      <c r="BS895" s="3">
        <v>45939</v>
      </c>
      <c r="BT895" s="4">
        <v>0.3888888888888889</v>
      </c>
      <c r="BU895" t="s">
        <v>1653</v>
      </c>
      <c r="BV895" t="s">
        <v>86</v>
      </c>
      <c r="BY895">
        <v>5093.55</v>
      </c>
      <c r="CA895" t="s">
        <v>1654</v>
      </c>
      <c r="CC895" t="s">
        <v>764</v>
      </c>
      <c r="CD895">
        <v>2531</v>
      </c>
      <c r="CE895" t="s">
        <v>147</v>
      </c>
      <c r="CF895" s="3">
        <v>45940</v>
      </c>
      <c r="CI895">
        <v>1</v>
      </c>
      <c r="CJ895">
        <v>1</v>
      </c>
      <c r="CK895">
        <v>23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"080068389260"</f>
        <v>080068389260</v>
      </c>
      <c r="F896" s="3">
        <v>45938</v>
      </c>
      <c r="G896">
        <v>202607</v>
      </c>
      <c r="H896" t="s">
        <v>79</v>
      </c>
      <c r="I896" t="s">
        <v>80</v>
      </c>
      <c r="J896" t="s">
        <v>91</v>
      </c>
      <c r="K896" t="s">
        <v>78</v>
      </c>
      <c r="L896" t="s">
        <v>108</v>
      </c>
      <c r="M896" t="s">
        <v>109</v>
      </c>
      <c r="N896" t="s">
        <v>515</v>
      </c>
      <c r="O896" t="s">
        <v>82</v>
      </c>
      <c r="P896" t="str">
        <f>"4170063537                    "</f>
        <v xml:space="preserve">4170063537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22.36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70.959999999999994</v>
      </c>
      <c r="BM896">
        <v>10.64</v>
      </c>
      <c r="BN896">
        <v>81.599999999999994</v>
      </c>
      <c r="BO896">
        <v>81.599999999999994</v>
      </c>
      <c r="BQ896" t="s">
        <v>516</v>
      </c>
      <c r="BR896" t="s">
        <v>97</v>
      </c>
      <c r="BS896" s="3">
        <v>45939</v>
      </c>
      <c r="BT896" s="4">
        <v>0.43680555555555556</v>
      </c>
      <c r="BU896" t="s">
        <v>1289</v>
      </c>
      <c r="BV896" t="s">
        <v>86</v>
      </c>
      <c r="BY896">
        <v>1200</v>
      </c>
      <c r="CA896" t="s">
        <v>1137</v>
      </c>
      <c r="CC896" t="s">
        <v>109</v>
      </c>
      <c r="CD896">
        <v>6001</v>
      </c>
      <c r="CE896" t="s">
        <v>147</v>
      </c>
      <c r="CF896" s="3">
        <v>45939</v>
      </c>
      <c r="CI896">
        <v>1</v>
      </c>
      <c r="CJ896">
        <v>1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"080068389284"</f>
        <v>080068389284</v>
      </c>
      <c r="F897" s="3">
        <v>45938</v>
      </c>
      <c r="G897">
        <v>202607</v>
      </c>
      <c r="H897" t="s">
        <v>79</v>
      </c>
      <c r="I897" t="s">
        <v>80</v>
      </c>
      <c r="J897" t="s">
        <v>91</v>
      </c>
      <c r="K897" t="s">
        <v>78</v>
      </c>
      <c r="L897" t="s">
        <v>168</v>
      </c>
      <c r="M897" t="s">
        <v>169</v>
      </c>
      <c r="N897" t="s">
        <v>1057</v>
      </c>
      <c r="O897" t="s">
        <v>82</v>
      </c>
      <c r="P897" t="str">
        <f>"4170063568                    "</f>
        <v xml:space="preserve">4170063568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22.36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70.959999999999994</v>
      </c>
      <c r="BM897">
        <v>10.64</v>
      </c>
      <c r="BN897">
        <v>81.599999999999994</v>
      </c>
      <c r="BO897">
        <v>81.599999999999994</v>
      </c>
      <c r="BQ897" t="s">
        <v>1058</v>
      </c>
      <c r="BR897" t="s">
        <v>97</v>
      </c>
      <c r="BS897" s="3">
        <v>45939</v>
      </c>
      <c r="BT897" s="4">
        <v>0.52500000000000002</v>
      </c>
      <c r="BU897" t="s">
        <v>1655</v>
      </c>
      <c r="BV897" t="s">
        <v>90</v>
      </c>
      <c r="BW897" t="s">
        <v>188</v>
      </c>
      <c r="BX897" t="s">
        <v>1152</v>
      </c>
      <c r="BY897">
        <v>1200</v>
      </c>
      <c r="CC897" t="s">
        <v>169</v>
      </c>
      <c r="CD897" s="5" t="s">
        <v>1061</v>
      </c>
      <c r="CE897" t="s">
        <v>147</v>
      </c>
      <c r="CF897" s="3">
        <v>45939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"080068389312"</f>
        <v>080068389312</v>
      </c>
      <c r="F898" s="3">
        <v>45938</v>
      </c>
      <c r="G898">
        <v>202607</v>
      </c>
      <c r="H898" t="s">
        <v>79</v>
      </c>
      <c r="I898" t="s">
        <v>80</v>
      </c>
      <c r="J898" t="s">
        <v>91</v>
      </c>
      <c r="K898" t="s">
        <v>78</v>
      </c>
      <c r="L898" t="s">
        <v>121</v>
      </c>
      <c r="M898" t="s">
        <v>122</v>
      </c>
      <c r="N898" t="s">
        <v>1474</v>
      </c>
      <c r="O898" t="s">
        <v>82</v>
      </c>
      <c r="P898" t="str">
        <f>"4170063463                    "</f>
        <v xml:space="preserve">4170063463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22.36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70.959999999999994</v>
      </c>
      <c r="BM898">
        <v>10.64</v>
      </c>
      <c r="BN898">
        <v>81.599999999999994</v>
      </c>
      <c r="BO898">
        <v>81.599999999999994</v>
      </c>
      <c r="BQ898" t="s">
        <v>1475</v>
      </c>
      <c r="BR898" t="s">
        <v>97</v>
      </c>
      <c r="BS898" s="3">
        <v>45939</v>
      </c>
      <c r="BT898" s="4">
        <v>0.53472222222222221</v>
      </c>
      <c r="BU898" t="s">
        <v>1656</v>
      </c>
      <c r="BV898" t="s">
        <v>90</v>
      </c>
      <c r="BW898" t="s">
        <v>136</v>
      </c>
      <c r="BX898" t="s">
        <v>858</v>
      </c>
      <c r="BY898">
        <v>1200</v>
      </c>
      <c r="CA898" t="s">
        <v>157</v>
      </c>
      <c r="CC898" t="s">
        <v>122</v>
      </c>
      <c r="CD898">
        <v>4052</v>
      </c>
      <c r="CE898" t="s">
        <v>147</v>
      </c>
      <c r="CF898" s="3">
        <v>45940</v>
      </c>
      <c r="CI898">
        <v>1</v>
      </c>
      <c r="CJ898">
        <v>1</v>
      </c>
      <c r="CK898">
        <v>21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"080068389328"</f>
        <v>080068389328</v>
      </c>
      <c r="F899" s="3">
        <v>45938</v>
      </c>
      <c r="G899">
        <v>202607</v>
      </c>
      <c r="H899" t="s">
        <v>79</v>
      </c>
      <c r="I899" t="s">
        <v>80</v>
      </c>
      <c r="J899" t="s">
        <v>91</v>
      </c>
      <c r="K899" t="s">
        <v>78</v>
      </c>
      <c r="L899" t="s">
        <v>1657</v>
      </c>
      <c r="M899" t="s">
        <v>1657</v>
      </c>
      <c r="N899" t="s">
        <v>911</v>
      </c>
      <c r="O899" t="s">
        <v>82</v>
      </c>
      <c r="P899" t="str">
        <f>"4170063544                    "</f>
        <v xml:space="preserve">4170063544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31.44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99.79</v>
      </c>
      <c r="BM899">
        <v>14.97</v>
      </c>
      <c r="BN899">
        <v>114.76</v>
      </c>
      <c r="BO899">
        <v>114.76</v>
      </c>
      <c r="BQ899" t="s">
        <v>912</v>
      </c>
      <c r="BR899" t="s">
        <v>97</v>
      </c>
      <c r="BS899" s="3">
        <v>45939</v>
      </c>
      <c r="BT899" s="4">
        <v>0.35486111111111113</v>
      </c>
      <c r="BU899" t="s">
        <v>1658</v>
      </c>
      <c r="BV899" t="s">
        <v>86</v>
      </c>
      <c r="BY899">
        <v>1200</v>
      </c>
      <c r="CA899" t="s">
        <v>1659</v>
      </c>
      <c r="CC899" t="s">
        <v>1657</v>
      </c>
      <c r="CD899">
        <v>1491</v>
      </c>
      <c r="CE899" t="s">
        <v>147</v>
      </c>
      <c r="CF899" s="3">
        <v>45940</v>
      </c>
      <c r="CI899">
        <v>1</v>
      </c>
      <c r="CJ899">
        <v>1</v>
      </c>
      <c r="CK899">
        <v>24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"080068389434"</f>
        <v>080068389434</v>
      </c>
      <c r="F900" s="3">
        <v>45938</v>
      </c>
      <c r="G900">
        <v>202607</v>
      </c>
      <c r="H900" t="s">
        <v>79</v>
      </c>
      <c r="I900" t="s">
        <v>80</v>
      </c>
      <c r="J900" t="s">
        <v>91</v>
      </c>
      <c r="K900" t="s">
        <v>78</v>
      </c>
      <c r="L900" t="s">
        <v>121</v>
      </c>
      <c r="M900" t="s">
        <v>122</v>
      </c>
      <c r="N900" t="s">
        <v>123</v>
      </c>
      <c r="O900" t="s">
        <v>82</v>
      </c>
      <c r="P900" t="str">
        <f>"4170063235                    "</f>
        <v xml:space="preserve">4170063235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22.36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</v>
      </c>
      <c r="BJ900">
        <v>1.1000000000000001</v>
      </c>
      <c r="BK900">
        <v>2</v>
      </c>
      <c r="BL900">
        <v>70.959999999999994</v>
      </c>
      <c r="BM900">
        <v>10.64</v>
      </c>
      <c r="BN900">
        <v>81.599999999999994</v>
      </c>
      <c r="BO900">
        <v>81.599999999999994</v>
      </c>
      <c r="BQ900" t="s">
        <v>124</v>
      </c>
      <c r="BR900" t="s">
        <v>97</v>
      </c>
      <c r="BS900" s="3">
        <v>45939</v>
      </c>
      <c r="BT900" s="4">
        <v>0.35833333333333334</v>
      </c>
      <c r="BU900" t="s">
        <v>1611</v>
      </c>
      <c r="BV900" t="s">
        <v>86</v>
      </c>
      <c r="BY900">
        <v>5510</v>
      </c>
      <c r="CA900" t="s">
        <v>126</v>
      </c>
      <c r="CC900" t="s">
        <v>122</v>
      </c>
      <c r="CD900">
        <v>4051</v>
      </c>
      <c r="CE900" t="s">
        <v>191</v>
      </c>
      <c r="CF900" s="3">
        <v>45939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"080068389828"</f>
        <v>080068389828</v>
      </c>
      <c r="F901" s="3">
        <v>45938</v>
      </c>
      <c r="G901">
        <v>202607</v>
      </c>
      <c r="H901" t="s">
        <v>79</v>
      </c>
      <c r="I901" t="s">
        <v>80</v>
      </c>
      <c r="J901" t="s">
        <v>91</v>
      </c>
      <c r="K901" t="s">
        <v>78</v>
      </c>
      <c r="L901" t="s">
        <v>1508</v>
      </c>
      <c r="M901" t="s">
        <v>1509</v>
      </c>
      <c r="N901" t="s">
        <v>1660</v>
      </c>
      <c r="O901" t="s">
        <v>82</v>
      </c>
      <c r="P901" t="str">
        <f>"4170063328                    "</f>
        <v xml:space="preserve">4170063328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43.31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1.1000000000000001</v>
      </c>
      <c r="BK901">
        <v>1.5</v>
      </c>
      <c r="BL901">
        <v>137.47</v>
      </c>
      <c r="BM901">
        <v>20.62</v>
      </c>
      <c r="BN901">
        <v>158.09</v>
      </c>
      <c r="BO901">
        <v>158.09</v>
      </c>
      <c r="BQ901" t="s">
        <v>1661</v>
      </c>
      <c r="BR901" t="s">
        <v>97</v>
      </c>
      <c r="BS901" s="3">
        <v>45939</v>
      </c>
      <c r="BT901" s="4">
        <v>0.65277777777777779</v>
      </c>
      <c r="BU901" t="s">
        <v>1662</v>
      </c>
      <c r="BV901" t="s">
        <v>86</v>
      </c>
      <c r="BY901">
        <v>5510</v>
      </c>
      <c r="CA901" t="s">
        <v>1663</v>
      </c>
      <c r="CC901" t="s">
        <v>1509</v>
      </c>
      <c r="CD901">
        <v>3370</v>
      </c>
      <c r="CE901" t="s">
        <v>191</v>
      </c>
      <c r="CF901" s="3">
        <v>45940</v>
      </c>
      <c r="CI901">
        <v>2</v>
      </c>
      <c r="CJ901">
        <v>1</v>
      </c>
      <c r="CK901">
        <v>23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"080068389868"</f>
        <v>080068389868</v>
      </c>
      <c r="F902" s="3">
        <v>45938</v>
      </c>
      <c r="G902">
        <v>202607</v>
      </c>
      <c r="H902" t="s">
        <v>79</v>
      </c>
      <c r="I902" t="s">
        <v>80</v>
      </c>
      <c r="J902" t="s">
        <v>91</v>
      </c>
      <c r="K902" t="s">
        <v>78</v>
      </c>
      <c r="L902" t="s">
        <v>530</v>
      </c>
      <c r="M902" t="s">
        <v>531</v>
      </c>
      <c r="N902" t="s">
        <v>532</v>
      </c>
      <c r="O902" t="s">
        <v>82</v>
      </c>
      <c r="P902" t="str">
        <f>"4170063575                    "</f>
        <v xml:space="preserve">4170063575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43.31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1.1000000000000001</v>
      </c>
      <c r="BK902">
        <v>1.5</v>
      </c>
      <c r="BL902">
        <v>137.47</v>
      </c>
      <c r="BM902">
        <v>20.62</v>
      </c>
      <c r="BN902">
        <v>158.09</v>
      </c>
      <c r="BO902">
        <v>158.09</v>
      </c>
      <c r="BQ902" t="s">
        <v>533</v>
      </c>
      <c r="BR902" t="s">
        <v>97</v>
      </c>
      <c r="BS902" s="3">
        <v>45939</v>
      </c>
      <c r="BT902" s="4">
        <v>0.57291666666666663</v>
      </c>
      <c r="BU902" t="s">
        <v>1664</v>
      </c>
      <c r="BV902" t="s">
        <v>86</v>
      </c>
      <c r="BY902">
        <v>5510</v>
      </c>
      <c r="CA902" t="s">
        <v>1245</v>
      </c>
      <c r="CC902" t="s">
        <v>531</v>
      </c>
      <c r="CD902">
        <v>6850</v>
      </c>
      <c r="CE902" t="s">
        <v>191</v>
      </c>
      <c r="CF902" s="3">
        <v>45940</v>
      </c>
      <c r="CI902">
        <v>2</v>
      </c>
      <c r="CJ902">
        <v>1</v>
      </c>
      <c r="CK902">
        <v>23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"080068389889"</f>
        <v>080068389889</v>
      </c>
      <c r="F903" s="3">
        <v>45938</v>
      </c>
      <c r="G903">
        <v>202607</v>
      </c>
      <c r="H903" t="s">
        <v>79</v>
      </c>
      <c r="I903" t="s">
        <v>80</v>
      </c>
      <c r="J903" t="s">
        <v>91</v>
      </c>
      <c r="K903" t="s">
        <v>78</v>
      </c>
      <c r="L903" t="s">
        <v>79</v>
      </c>
      <c r="M903" t="s">
        <v>80</v>
      </c>
      <c r="N903" t="s">
        <v>163</v>
      </c>
      <c r="O903" t="s">
        <v>82</v>
      </c>
      <c r="P903" t="str">
        <f>"4170063529                    "</f>
        <v xml:space="preserve">4170063529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17.46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55.42</v>
      </c>
      <c r="BM903">
        <v>8.31</v>
      </c>
      <c r="BN903">
        <v>63.73</v>
      </c>
      <c r="BO903">
        <v>63.73</v>
      </c>
      <c r="BQ903" t="s">
        <v>164</v>
      </c>
      <c r="BR903" t="s">
        <v>97</v>
      </c>
      <c r="BS903" s="3">
        <v>45939</v>
      </c>
      <c r="BT903" s="4">
        <v>0.35069444444444442</v>
      </c>
      <c r="BU903" t="s">
        <v>165</v>
      </c>
      <c r="BV903" t="s">
        <v>86</v>
      </c>
      <c r="BY903">
        <v>1200</v>
      </c>
      <c r="CA903" t="s">
        <v>166</v>
      </c>
      <c r="CC903" t="s">
        <v>80</v>
      </c>
      <c r="CD903">
        <v>1600</v>
      </c>
      <c r="CE903" t="s">
        <v>147</v>
      </c>
      <c r="CF903" s="3">
        <v>45939</v>
      </c>
      <c r="CI903">
        <v>1</v>
      </c>
      <c r="CJ903">
        <v>1</v>
      </c>
      <c r="CK903">
        <v>22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"080068389900"</f>
        <v>080068389900</v>
      </c>
      <c r="F904" s="3">
        <v>45938</v>
      </c>
      <c r="G904">
        <v>202607</v>
      </c>
      <c r="H904" t="s">
        <v>79</v>
      </c>
      <c r="I904" t="s">
        <v>80</v>
      </c>
      <c r="J904" t="s">
        <v>91</v>
      </c>
      <c r="K904" t="s">
        <v>78</v>
      </c>
      <c r="L904" t="s">
        <v>121</v>
      </c>
      <c r="M904" t="s">
        <v>122</v>
      </c>
      <c r="N904" t="s">
        <v>154</v>
      </c>
      <c r="O904" t="s">
        <v>82</v>
      </c>
      <c r="P904" t="str">
        <f>"4170063597                    "</f>
        <v xml:space="preserve">4170063597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22.36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70.959999999999994</v>
      </c>
      <c r="BM904">
        <v>10.64</v>
      </c>
      <c r="BN904">
        <v>81.599999999999994</v>
      </c>
      <c r="BO904">
        <v>81.599999999999994</v>
      </c>
      <c r="BQ904" t="s">
        <v>155</v>
      </c>
      <c r="BR904" t="s">
        <v>97</v>
      </c>
      <c r="BS904" s="3">
        <v>45939</v>
      </c>
      <c r="BT904" s="4">
        <v>0.38194444444444442</v>
      </c>
      <c r="BU904" t="s">
        <v>1665</v>
      </c>
      <c r="BV904" t="s">
        <v>86</v>
      </c>
      <c r="BY904">
        <v>1200</v>
      </c>
      <c r="CA904" t="s">
        <v>157</v>
      </c>
      <c r="CC904" t="s">
        <v>122</v>
      </c>
      <c r="CD904">
        <v>4052</v>
      </c>
      <c r="CE904" t="s">
        <v>147</v>
      </c>
      <c r="CF904" s="3">
        <v>45940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"080068389906"</f>
        <v>080068389906</v>
      </c>
      <c r="F905" s="3">
        <v>45938</v>
      </c>
      <c r="G905">
        <v>202607</v>
      </c>
      <c r="H905" t="s">
        <v>79</v>
      </c>
      <c r="I905" t="s">
        <v>80</v>
      </c>
      <c r="J905" t="s">
        <v>91</v>
      </c>
      <c r="K905" t="s">
        <v>78</v>
      </c>
      <c r="L905" t="s">
        <v>453</v>
      </c>
      <c r="M905" t="s">
        <v>454</v>
      </c>
      <c r="N905" t="s">
        <v>581</v>
      </c>
      <c r="O905" t="s">
        <v>82</v>
      </c>
      <c r="P905" t="str">
        <f>"4170063493                    "</f>
        <v xml:space="preserve">4170063493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44.69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3.6</v>
      </c>
      <c r="BK905">
        <v>4</v>
      </c>
      <c r="BL905">
        <v>141.85</v>
      </c>
      <c r="BM905">
        <v>21.28</v>
      </c>
      <c r="BN905">
        <v>163.13</v>
      </c>
      <c r="BO905">
        <v>163.13</v>
      </c>
      <c r="BQ905" t="s">
        <v>582</v>
      </c>
      <c r="BR905" t="s">
        <v>97</v>
      </c>
      <c r="BS905" s="3">
        <v>45939</v>
      </c>
      <c r="BT905" s="4">
        <v>0.43680555555555556</v>
      </c>
      <c r="BU905" t="s">
        <v>1666</v>
      </c>
      <c r="BV905" t="s">
        <v>86</v>
      </c>
      <c r="BY905">
        <v>17808</v>
      </c>
      <c r="CA905" t="s">
        <v>742</v>
      </c>
      <c r="CC905" t="s">
        <v>454</v>
      </c>
      <c r="CD905">
        <v>3610</v>
      </c>
      <c r="CE905" t="s">
        <v>107</v>
      </c>
      <c r="CF905" s="3">
        <v>45940</v>
      </c>
      <c r="CI905">
        <v>1</v>
      </c>
      <c r="CJ905">
        <v>1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"080068389913"</f>
        <v>080068389913</v>
      </c>
      <c r="F906" s="3">
        <v>45938</v>
      </c>
      <c r="G906">
        <v>202607</v>
      </c>
      <c r="H906" t="s">
        <v>79</v>
      </c>
      <c r="I906" t="s">
        <v>80</v>
      </c>
      <c r="J906" t="s">
        <v>91</v>
      </c>
      <c r="K906" t="s">
        <v>78</v>
      </c>
      <c r="L906" t="s">
        <v>206</v>
      </c>
      <c r="M906" t="s">
        <v>207</v>
      </c>
      <c r="N906" t="s">
        <v>656</v>
      </c>
      <c r="O906" t="s">
        <v>82</v>
      </c>
      <c r="P906" t="str">
        <f>"4170063602                    "</f>
        <v xml:space="preserve">4170063602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22.36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70.959999999999994</v>
      </c>
      <c r="BM906">
        <v>10.64</v>
      </c>
      <c r="BN906">
        <v>81.599999999999994</v>
      </c>
      <c r="BO906">
        <v>81.599999999999994</v>
      </c>
      <c r="BQ906" t="s">
        <v>657</v>
      </c>
      <c r="BR906" t="s">
        <v>97</v>
      </c>
      <c r="BS906" s="3">
        <v>45939</v>
      </c>
      <c r="BT906" s="4">
        <v>0.39930555555555558</v>
      </c>
      <c r="BU906" t="s">
        <v>658</v>
      </c>
      <c r="BV906" t="s">
        <v>86</v>
      </c>
      <c r="BY906">
        <v>1200</v>
      </c>
      <c r="CA906" t="s">
        <v>211</v>
      </c>
      <c r="CC906" t="s">
        <v>207</v>
      </c>
      <c r="CD906">
        <v>7441</v>
      </c>
      <c r="CE906" t="s">
        <v>147</v>
      </c>
      <c r="CF906" s="3">
        <v>45940</v>
      </c>
      <c r="CI906">
        <v>1</v>
      </c>
      <c r="CJ906">
        <v>1</v>
      </c>
      <c r="CK906">
        <v>21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"080068389933"</f>
        <v>080068389933</v>
      </c>
      <c r="F907" s="3">
        <v>45938</v>
      </c>
      <c r="G907">
        <v>202607</v>
      </c>
      <c r="H907" t="s">
        <v>79</v>
      </c>
      <c r="I907" t="s">
        <v>80</v>
      </c>
      <c r="J907" t="s">
        <v>91</v>
      </c>
      <c r="K907" t="s">
        <v>78</v>
      </c>
      <c r="L907" t="s">
        <v>206</v>
      </c>
      <c r="M907" t="s">
        <v>207</v>
      </c>
      <c r="N907" t="s">
        <v>391</v>
      </c>
      <c r="O907" t="s">
        <v>82</v>
      </c>
      <c r="P907" t="str">
        <f>"4170063483                    "</f>
        <v xml:space="preserve">4170063483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22.36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70.959999999999994</v>
      </c>
      <c r="BM907">
        <v>10.64</v>
      </c>
      <c r="BN907">
        <v>81.599999999999994</v>
      </c>
      <c r="BO907">
        <v>81.599999999999994</v>
      </c>
      <c r="BQ907" t="s">
        <v>392</v>
      </c>
      <c r="BR907" t="s">
        <v>97</v>
      </c>
      <c r="BS907" s="3">
        <v>45939</v>
      </c>
      <c r="BT907" s="4">
        <v>0.39166666666666666</v>
      </c>
      <c r="BU907" t="s">
        <v>1667</v>
      </c>
      <c r="BV907" t="s">
        <v>86</v>
      </c>
      <c r="BY907">
        <v>1200</v>
      </c>
      <c r="CA907" t="s">
        <v>394</v>
      </c>
      <c r="CC907" t="s">
        <v>207</v>
      </c>
      <c r="CD907">
        <v>7441</v>
      </c>
      <c r="CE907" t="s">
        <v>147</v>
      </c>
      <c r="CF907" s="3">
        <v>45940</v>
      </c>
      <c r="CI907">
        <v>1</v>
      </c>
      <c r="CJ907">
        <v>1</v>
      </c>
      <c r="CK907">
        <v>21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"080068389945"</f>
        <v>080068389945</v>
      </c>
      <c r="F908" s="3">
        <v>45938</v>
      </c>
      <c r="G908">
        <v>202607</v>
      </c>
      <c r="H908" t="s">
        <v>79</v>
      </c>
      <c r="I908" t="s">
        <v>80</v>
      </c>
      <c r="J908" t="s">
        <v>91</v>
      </c>
      <c r="K908" t="s">
        <v>78</v>
      </c>
      <c r="L908" t="s">
        <v>453</v>
      </c>
      <c r="M908" t="s">
        <v>454</v>
      </c>
      <c r="N908" t="s">
        <v>665</v>
      </c>
      <c r="O908" t="s">
        <v>82</v>
      </c>
      <c r="P908" t="str">
        <f>"4170063508                    "</f>
        <v xml:space="preserve">4170063508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22.36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70.959999999999994</v>
      </c>
      <c r="BM908">
        <v>10.64</v>
      </c>
      <c r="BN908">
        <v>81.599999999999994</v>
      </c>
      <c r="BO908">
        <v>81.599999999999994</v>
      </c>
      <c r="BQ908" t="s">
        <v>666</v>
      </c>
      <c r="BR908" t="s">
        <v>97</v>
      </c>
      <c r="BS908" s="3">
        <v>45939</v>
      </c>
      <c r="BT908" s="4">
        <v>0.43541666666666667</v>
      </c>
      <c r="BU908" t="s">
        <v>1562</v>
      </c>
      <c r="BV908" t="s">
        <v>86</v>
      </c>
      <c r="BY908">
        <v>1200</v>
      </c>
      <c r="CA908" t="s">
        <v>742</v>
      </c>
      <c r="CC908" t="s">
        <v>454</v>
      </c>
      <c r="CD908">
        <v>3610</v>
      </c>
      <c r="CE908" t="s">
        <v>147</v>
      </c>
      <c r="CF908" s="3">
        <v>45940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"080068389959"</f>
        <v>080068389959</v>
      </c>
      <c r="F909" s="3">
        <v>45938</v>
      </c>
      <c r="G909">
        <v>202607</v>
      </c>
      <c r="H909" t="s">
        <v>79</v>
      </c>
      <c r="I909" t="s">
        <v>80</v>
      </c>
      <c r="J909" t="s">
        <v>91</v>
      </c>
      <c r="K909" t="s">
        <v>78</v>
      </c>
      <c r="L909" t="s">
        <v>121</v>
      </c>
      <c r="M909" t="s">
        <v>122</v>
      </c>
      <c r="N909" t="s">
        <v>123</v>
      </c>
      <c r="O909" t="s">
        <v>82</v>
      </c>
      <c r="P909" t="str">
        <f>"4170063550                    "</f>
        <v xml:space="preserve">4170063550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22.36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70.959999999999994</v>
      </c>
      <c r="BM909">
        <v>10.64</v>
      </c>
      <c r="BN909">
        <v>81.599999999999994</v>
      </c>
      <c r="BO909">
        <v>81.599999999999994</v>
      </c>
      <c r="BQ909" t="s">
        <v>124</v>
      </c>
      <c r="BR909" t="s">
        <v>97</v>
      </c>
      <c r="BS909" s="3">
        <v>45939</v>
      </c>
      <c r="BT909" s="4">
        <v>0.35833333333333334</v>
      </c>
      <c r="BU909" t="s">
        <v>1611</v>
      </c>
      <c r="BV909" t="s">
        <v>86</v>
      </c>
      <c r="BY909">
        <v>1200</v>
      </c>
      <c r="CA909" t="s">
        <v>126</v>
      </c>
      <c r="CC909" t="s">
        <v>122</v>
      </c>
      <c r="CD909">
        <v>4051</v>
      </c>
      <c r="CE909" t="s">
        <v>147</v>
      </c>
      <c r="CF909" s="3">
        <v>45939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"080068389985"</f>
        <v>080068389985</v>
      </c>
      <c r="F910" s="3">
        <v>45938</v>
      </c>
      <c r="G910">
        <v>202607</v>
      </c>
      <c r="H910" t="s">
        <v>79</v>
      </c>
      <c r="I910" t="s">
        <v>80</v>
      </c>
      <c r="J910" t="s">
        <v>91</v>
      </c>
      <c r="K910" t="s">
        <v>78</v>
      </c>
      <c r="L910" t="s">
        <v>206</v>
      </c>
      <c r="M910" t="s">
        <v>207</v>
      </c>
      <c r="N910" t="s">
        <v>656</v>
      </c>
      <c r="O910" t="s">
        <v>82</v>
      </c>
      <c r="P910" t="str">
        <f>"4170063601                    "</f>
        <v xml:space="preserve">4170063601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22.36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70.959999999999994</v>
      </c>
      <c r="BM910">
        <v>10.64</v>
      </c>
      <c r="BN910">
        <v>81.599999999999994</v>
      </c>
      <c r="BO910">
        <v>81.599999999999994</v>
      </c>
      <c r="BQ910" t="s">
        <v>657</v>
      </c>
      <c r="BR910" t="s">
        <v>97</v>
      </c>
      <c r="BS910" s="3">
        <v>45939</v>
      </c>
      <c r="BT910" s="4">
        <v>0.39930555555555558</v>
      </c>
      <c r="BU910" t="s">
        <v>658</v>
      </c>
      <c r="BV910" t="s">
        <v>86</v>
      </c>
      <c r="BY910">
        <v>1200</v>
      </c>
      <c r="CA910" t="s">
        <v>211</v>
      </c>
      <c r="CC910" t="s">
        <v>207</v>
      </c>
      <c r="CD910">
        <v>7441</v>
      </c>
      <c r="CE910" t="s">
        <v>147</v>
      </c>
      <c r="CF910" s="3">
        <v>45940</v>
      </c>
      <c r="CI910">
        <v>1</v>
      </c>
      <c r="CJ910">
        <v>1</v>
      </c>
      <c r="CK910">
        <v>21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"080068390278"</f>
        <v>080068390278</v>
      </c>
      <c r="F911" s="3">
        <v>45938</v>
      </c>
      <c r="G911">
        <v>202607</v>
      </c>
      <c r="H911" t="s">
        <v>79</v>
      </c>
      <c r="I911" t="s">
        <v>80</v>
      </c>
      <c r="J911" t="s">
        <v>91</v>
      </c>
      <c r="K911" t="s">
        <v>78</v>
      </c>
      <c r="L911" t="s">
        <v>322</v>
      </c>
      <c r="M911" t="s">
        <v>322</v>
      </c>
      <c r="N911" t="s">
        <v>483</v>
      </c>
      <c r="O911" t="s">
        <v>82</v>
      </c>
      <c r="P911" t="str">
        <f>"4170063455                    "</f>
        <v xml:space="preserve">4170063455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43.31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0.9</v>
      </c>
      <c r="BK911">
        <v>1</v>
      </c>
      <c r="BL911">
        <v>137.47</v>
      </c>
      <c r="BM911">
        <v>20.62</v>
      </c>
      <c r="BN911">
        <v>158.09</v>
      </c>
      <c r="BO911">
        <v>158.09</v>
      </c>
      <c r="BQ911" t="s">
        <v>486</v>
      </c>
      <c r="BR911" t="s">
        <v>97</v>
      </c>
      <c r="BS911" s="3">
        <v>45939</v>
      </c>
      <c r="BT911" s="4">
        <v>0.44513888888888886</v>
      </c>
      <c r="BU911" t="s">
        <v>1668</v>
      </c>
      <c r="BV911" t="s">
        <v>86</v>
      </c>
      <c r="BY911">
        <v>4275</v>
      </c>
      <c r="CA911" t="s">
        <v>1669</v>
      </c>
      <c r="CC911" t="s">
        <v>322</v>
      </c>
      <c r="CD911">
        <v>7646</v>
      </c>
      <c r="CE911" t="s">
        <v>191</v>
      </c>
      <c r="CF911" s="3">
        <v>45940</v>
      </c>
      <c r="CI911">
        <v>1</v>
      </c>
      <c r="CJ911">
        <v>1</v>
      </c>
      <c r="CK911">
        <v>23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"080068390312"</f>
        <v>080068390312</v>
      </c>
      <c r="F912" s="3">
        <v>45938</v>
      </c>
      <c r="G912">
        <v>202607</v>
      </c>
      <c r="H912" t="s">
        <v>79</v>
      </c>
      <c r="I912" t="s">
        <v>80</v>
      </c>
      <c r="J912" t="s">
        <v>91</v>
      </c>
      <c r="K912" t="s">
        <v>78</v>
      </c>
      <c r="L912" t="s">
        <v>79</v>
      </c>
      <c r="M912" t="s">
        <v>80</v>
      </c>
      <c r="N912" t="s">
        <v>628</v>
      </c>
      <c r="O912" t="s">
        <v>82</v>
      </c>
      <c r="P912" t="str">
        <f>"4170063535                    "</f>
        <v xml:space="preserve">4170063535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17.46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1.1000000000000001</v>
      </c>
      <c r="BK912">
        <v>2</v>
      </c>
      <c r="BL912">
        <v>55.42</v>
      </c>
      <c r="BM912">
        <v>8.31</v>
      </c>
      <c r="BN912">
        <v>63.73</v>
      </c>
      <c r="BO912">
        <v>63.73</v>
      </c>
      <c r="BQ912" t="s">
        <v>629</v>
      </c>
      <c r="BR912" t="s">
        <v>97</v>
      </c>
      <c r="BS912" s="3">
        <v>45939</v>
      </c>
      <c r="BT912" s="4">
        <v>0.35555555555555557</v>
      </c>
      <c r="BU912" t="s">
        <v>1670</v>
      </c>
      <c r="BV912" t="s">
        <v>86</v>
      </c>
      <c r="BY912">
        <v>5510</v>
      </c>
      <c r="CA912" t="s">
        <v>88</v>
      </c>
      <c r="CC912" t="s">
        <v>80</v>
      </c>
      <c r="CD912">
        <v>1601</v>
      </c>
      <c r="CE912" t="s">
        <v>191</v>
      </c>
      <c r="CF912" s="3">
        <v>45939</v>
      </c>
      <c r="CI912">
        <v>1</v>
      </c>
      <c r="CJ912">
        <v>1</v>
      </c>
      <c r="CK912">
        <v>22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"080068390349"</f>
        <v>080068390349</v>
      </c>
      <c r="F913" s="3">
        <v>45938</v>
      </c>
      <c r="G913">
        <v>202607</v>
      </c>
      <c r="H913" t="s">
        <v>79</v>
      </c>
      <c r="I913" t="s">
        <v>80</v>
      </c>
      <c r="J913" t="s">
        <v>91</v>
      </c>
      <c r="K913" t="s">
        <v>78</v>
      </c>
      <c r="L913" t="s">
        <v>206</v>
      </c>
      <c r="M913" t="s">
        <v>207</v>
      </c>
      <c r="N913" t="s">
        <v>734</v>
      </c>
      <c r="O913" t="s">
        <v>82</v>
      </c>
      <c r="P913" t="str">
        <f>"4170063422                    "</f>
        <v xml:space="preserve">4170063422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44.69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4</v>
      </c>
      <c r="BJ913">
        <v>1.8</v>
      </c>
      <c r="BK913">
        <v>4</v>
      </c>
      <c r="BL913">
        <v>141.85</v>
      </c>
      <c r="BM913">
        <v>21.28</v>
      </c>
      <c r="BN913">
        <v>163.13</v>
      </c>
      <c r="BO913">
        <v>163.13</v>
      </c>
      <c r="BQ913" t="s">
        <v>735</v>
      </c>
      <c r="BR913" t="s">
        <v>97</v>
      </c>
      <c r="BS913" s="3">
        <v>45939</v>
      </c>
      <c r="BT913" s="4">
        <v>0.3923611111111111</v>
      </c>
      <c r="BU913" t="s">
        <v>736</v>
      </c>
      <c r="BV913" t="s">
        <v>86</v>
      </c>
      <c r="BY913">
        <v>8816</v>
      </c>
      <c r="CA913" t="s">
        <v>480</v>
      </c>
      <c r="CC913" t="s">
        <v>207</v>
      </c>
      <c r="CD913">
        <v>7480</v>
      </c>
      <c r="CE913" t="s">
        <v>191</v>
      </c>
      <c r="CF913" s="3">
        <v>45940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"080068390382"</f>
        <v>080068390382</v>
      </c>
      <c r="F914" s="3">
        <v>45938</v>
      </c>
      <c r="G914">
        <v>202607</v>
      </c>
      <c r="H914" t="s">
        <v>79</v>
      </c>
      <c r="I914" t="s">
        <v>80</v>
      </c>
      <c r="J914" t="s">
        <v>91</v>
      </c>
      <c r="K914" t="s">
        <v>78</v>
      </c>
      <c r="L914" t="s">
        <v>322</v>
      </c>
      <c r="M914" t="s">
        <v>322</v>
      </c>
      <c r="N914" t="s">
        <v>483</v>
      </c>
      <c r="O914" t="s">
        <v>82</v>
      </c>
      <c r="P914" t="str">
        <f>"4170063555                    "</f>
        <v xml:space="preserve">4170063555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43.31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0.9</v>
      </c>
      <c r="BK914">
        <v>1</v>
      </c>
      <c r="BL914">
        <v>137.47</v>
      </c>
      <c r="BM914">
        <v>20.62</v>
      </c>
      <c r="BN914">
        <v>158.09</v>
      </c>
      <c r="BO914">
        <v>158.09</v>
      </c>
      <c r="BQ914" t="s">
        <v>486</v>
      </c>
      <c r="BR914" t="s">
        <v>97</v>
      </c>
      <c r="BS914" s="3">
        <v>45939</v>
      </c>
      <c r="BT914" s="4">
        <v>0.45069444444444445</v>
      </c>
      <c r="BU914" t="s">
        <v>1668</v>
      </c>
      <c r="BV914" t="s">
        <v>86</v>
      </c>
      <c r="BY914">
        <v>4680</v>
      </c>
      <c r="CA914" t="s">
        <v>1669</v>
      </c>
      <c r="CC914" t="s">
        <v>322</v>
      </c>
      <c r="CD914">
        <v>7646</v>
      </c>
      <c r="CE914" t="s">
        <v>191</v>
      </c>
      <c r="CF914" s="3">
        <v>45940</v>
      </c>
      <c r="CI914">
        <v>1</v>
      </c>
      <c r="CJ914">
        <v>1</v>
      </c>
      <c r="CK914">
        <v>23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"080068390492"</f>
        <v>080068390492</v>
      </c>
      <c r="F915" s="3">
        <v>45938</v>
      </c>
      <c r="G915">
        <v>202607</v>
      </c>
      <c r="H915" t="s">
        <v>79</v>
      </c>
      <c r="I915" t="s">
        <v>80</v>
      </c>
      <c r="J915" t="s">
        <v>91</v>
      </c>
      <c r="K915" t="s">
        <v>78</v>
      </c>
      <c r="L915" t="s">
        <v>223</v>
      </c>
      <c r="M915" t="s">
        <v>224</v>
      </c>
      <c r="N915" t="s">
        <v>1671</v>
      </c>
      <c r="O915" t="s">
        <v>95</v>
      </c>
      <c r="P915" t="str">
        <f>"4170063604                    "</f>
        <v xml:space="preserve">4170063604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42.14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3</v>
      </c>
      <c r="BI915">
        <v>18</v>
      </c>
      <c r="BJ915">
        <v>23.3</v>
      </c>
      <c r="BK915">
        <v>24</v>
      </c>
      <c r="BL915">
        <v>139.61000000000001</v>
      </c>
      <c r="BM915">
        <v>20.94</v>
      </c>
      <c r="BN915">
        <v>160.55000000000001</v>
      </c>
      <c r="BO915">
        <v>160.55000000000001</v>
      </c>
      <c r="BQ915" t="s">
        <v>1672</v>
      </c>
      <c r="BR915" t="s">
        <v>97</v>
      </c>
      <c r="BS915" s="3">
        <v>45939</v>
      </c>
      <c r="BT915" s="4">
        <v>0.43472222222222223</v>
      </c>
      <c r="BU915" t="s">
        <v>1673</v>
      </c>
      <c r="BV915" t="s">
        <v>86</v>
      </c>
      <c r="BY915">
        <v>116688</v>
      </c>
      <c r="CA915" t="s">
        <v>508</v>
      </c>
      <c r="CC915" t="s">
        <v>224</v>
      </c>
      <c r="CD915">
        <v>1459</v>
      </c>
      <c r="CE915" t="s">
        <v>191</v>
      </c>
      <c r="CF915" s="3">
        <v>45940</v>
      </c>
      <c r="CI915">
        <v>1</v>
      </c>
      <c r="CJ915">
        <v>1</v>
      </c>
      <c r="CK915">
        <v>42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"080068390534"</f>
        <v>080068390534</v>
      </c>
      <c r="F916" s="3">
        <v>45938</v>
      </c>
      <c r="G916">
        <v>202607</v>
      </c>
      <c r="H916" t="s">
        <v>79</v>
      </c>
      <c r="I916" t="s">
        <v>80</v>
      </c>
      <c r="J916" t="s">
        <v>91</v>
      </c>
      <c r="K916" t="s">
        <v>78</v>
      </c>
      <c r="L916" t="s">
        <v>121</v>
      </c>
      <c r="M916" t="s">
        <v>122</v>
      </c>
      <c r="N916" t="s">
        <v>1674</v>
      </c>
      <c r="O916" t="s">
        <v>82</v>
      </c>
      <c r="P916" t="str">
        <f>"4170063486                    "</f>
        <v xml:space="preserve">4170063486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22.36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1.7</v>
      </c>
      <c r="BK916">
        <v>2</v>
      </c>
      <c r="BL916">
        <v>70.959999999999994</v>
      </c>
      <c r="BM916">
        <v>10.64</v>
      </c>
      <c r="BN916">
        <v>81.599999999999994</v>
      </c>
      <c r="BO916">
        <v>81.599999999999994</v>
      </c>
      <c r="BQ916" t="s">
        <v>1675</v>
      </c>
      <c r="BR916" t="s">
        <v>97</v>
      </c>
      <c r="BS916" s="3">
        <v>45939</v>
      </c>
      <c r="BT916" s="4">
        <v>0.42777777777777776</v>
      </c>
      <c r="BU916" t="s">
        <v>1630</v>
      </c>
      <c r="BV916" t="s">
        <v>86</v>
      </c>
      <c r="BY916">
        <v>8512</v>
      </c>
      <c r="CA916" t="s">
        <v>651</v>
      </c>
      <c r="CC916" t="s">
        <v>122</v>
      </c>
      <c r="CD916">
        <v>4001</v>
      </c>
      <c r="CE916" t="s">
        <v>191</v>
      </c>
      <c r="CF916" s="3">
        <v>45940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"080068390592"</f>
        <v>080068390592</v>
      </c>
      <c r="F917" s="3">
        <v>45938</v>
      </c>
      <c r="G917">
        <v>202607</v>
      </c>
      <c r="H917" t="s">
        <v>79</v>
      </c>
      <c r="I917" t="s">
        <v>80</v>
      </c>
      <c r="J917" t="s">
        <v>91</v>
      </c>
      <c r="K917" t="s">
        <v>78</v>
      </c>
      <c r="L917" t="s">
        <v>884</v>
      </c>
      <c r="M917" t="s">
        <v>885</v>
      </c>
      <c r="N917" t="s">
        <v>886</v>
      </c>
      <c r="O917" t="s">
        <v>82</v>
      </c>
      <c r="P917" t="str">
        <f>"4170063565                    "</f>
        <v xml:space="preserve">4170063565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160.66999999999999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8</v>
      </c>
      <c r="BJ917">
        <v>3.4</v>
      </c>
      <c r="BK917">
        <v>8</v>
      </c>
      <c r="BL917">
        <v>509.95</v>
      </c>
      <c r="BM917">
        <v>76.489999999999995</v>
      </c>
      <c r="BN917">
        <v>586.44000000000005</v>
      </c>
      <c r="BO917">
        <v>586.44000000000005</v>
      </c>
      <c r="BQ917" t="s">
        <v>887</v>
      </c>
      <c r="BR917" t="s">
        <v>97</v>
      </c>
      <c r="BS917" s="3">
        <v>45939</v>
      </c>
      <c r="BT917" s="4">
        <v>0.33333333333333331</v>
      </c>
      <c r="BU917" t="s">
        <v>1676</v>
      </c>
      <c r="BV917" t="s">
        <v>86</v>
      </c>
      <c r="BY917">
        <v>16965</v>
      </c>
      <c r="CC917" t="s">
        <v>885</v>
      </c>
      <c r="CD917">
        <v>2740</v>
      </c>
      <c r="CE917" t="s">
        <v>191</v>
      </c>
      <c r="CF917" s="3">
        <v>45940</v>
      </c>
      <c r="CI917">
        <v>1</v>
      </c>
      <c r="CJ917">
        <v>1</v>
      </c>
      <c r="CK917">
        <v>23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"080068390650"</f>
        <v>080068390650</v>
      </c>
      <c r="F918" s="3">
        <v>45938</v>
      </c>
      <c r="G918">
        <v>202607</v>
      </c>
      <c r="H918" t="s">
        <v>79</v>
      </c>
      <c r="I918" t="s">
        <v>80</v>
      </c>
      <c r="J918" t="s">
        <v>91</v>
      </c>
      <c r="K918" t="s">
        <v>78</v>
      </c>
      <c r="L918" t="s">
        <v>75</v>
      </c>
      <c r="M918" t="s">
        <v>76</v>
      </c>
      <c r="N918" t="s">
        <v>1677</v>
      </c>
      <c r="O918" t="s">
        <v>82</v>
      </c>
      <c r="P918" t="str">
        <f>"4170063487                    "</f>
        <v xml:space="preserve">4170063487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17.46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55.42</v>
      </c>
      <c r="BM918">
        <v>8.31</v>
      </c>
      <c r="BN918">
        <v>63.73</v>
      </c>
      <c r="BO918">
        <v>63.73</v>
      </c>
      <c r="BQ918" t="s">
        <v>1678</v>
      </c>
      <c r="BR918" t="s">
        <v>97</v>
      </c>
      <c r="BS918" s="3">
        <v>45939</v>
      </c>
      <c r="BT918" s="4">
        <v>0.4375</v>
      </c>
      <c r="BU918" t="s">
        <v>1679</v>
      </c>
      <c r="BV918" t="s">
        <v>86</v>
      </c>
      <c r="BY918">
        <v>1200</v>
      </c>
      <c r="CA918" t="s">
        <v>1503</v>
      </c>
      <c r="CC918" t="s">
        <v>76</v>
      </c>
      <c r="CD918">
        <v>2163</v>
      </c>
      <c r="CE918" t="s">
        <v>147</v>
      </c>
      <c r="CF918" s="3">
        <v>45939</v>
      </c>
      <c r="CI918">
        <v>1</v>
      </c>
      <c r="CJ918">
        <v>1</v>
      </c>
      <c r="CK918">
        <v>22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"080068390687"</f>
        <v>080068390687</v>
      </c>
      <c r="F919" s="3">
        <v>45938</v>
      </c>
      <c r="G919">
        <v>202607</v>
      </c>
      <c r="H919" t="s">
        <v>79</v>
      </c>
      <c r="I919" t="s">
        <v>80</v>
      </c>
      <c r="J919" t="s">
        <v>91</v>
      </c>
      <c r="K919" t="s">
        <v>78</v>
      </c>
      <c r="L919" t="s">
        <v>75</v>
      </c>
      <c r="M919" t="s">
        <v>76</v>
      </c>
      <c r="N919" t="s">
        <v>1501</v>
      </c>
      <c r="O919" t="s">
        <v>82</v>
      </c>
      <c r="P919" t="str">
        <f>"4170063599                    "</f>
        <v xml:space="preserve">4170063599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17.46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55.42</v>
      </c>
      <c r="BM919">
        <v>8.31</v>
      </c>
      <c r="BN919">
        <v>63.73</v>
      </c>
      <c r="BO919">
        <v>63.73</v>
      </c>
      <c r="BQ919" t="s">
        <v>1502</v>
      </c>
      <c r="BR919" t="s">
        <v>97</v>
      </c>
      <c r="BS919" s="3">
        <v>45940</v>
      </c>
      <c r="BT919" s="4">
        <v>0.5131944444444444</v>
      </c>
      <c r="BU919" t="s">
        <v>1259</v>
      </c>
      <c r="BV919" t="s">
        <v>90</v>
      </c>
      <c r="BW919" t="s">
        <v>771</v>
      </c>
      <c r="BX919" t="s">
        <v>772</v>
      </c>
      <c r="BY919">
        <v>1200</v>
      </c>
      <c r="CA919" t="s">
        <v>1149</v>
      </c>
      <c r="CC919" t="s">
        <v>76</v>
      </c>
      <c r="CD919">
        <v>2163</v>
      </c>
      <c r="CE919" t="s">
        <v>147</v>
      </c>
      <c r="CF919" s="3">
        <v>45940</v>
      </c>
      <c r="CI919">
        <v>1</v>
      </c>
      <c r="CJ919">
        <v>2</v>
      </c>
      <c r="CK919">
        <v>22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"080068390716"</f>
        <v>080068390716</v>
      </c>
      <c r="F920" s="3">
        <v>45938</v>
      </c>
      <c r="G920">
        <v>202607</v>
      </c>
      <c r="H920" t="s">
        <v>79</v>
      </c>
      <c r="I920" t="s">
        <v>80</v>
      </c>
      <c r="J920" t="s">
        <v>91</v>
      </c>
      <c r="K920" t="s">
        <v>78</v>
      </c>
      <c r="L920" t="s">
        <v>148</v>
      </c>
      <c r="M920" t="s">
        <v>149</v>
      </c>
      <c r="N920" t="s">
        <v>905</v>
      </c>
      <c r="O920" t="s">
        <v>82</v>
      </c>
      <c r="P920" t="str">
        <f>"4170063596                    "</f>
        <v xml:space="preserve">4170063596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17.46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55.42</v>
      </c>
      <c r="BM920">
        <v>8.31</v>
      </c>
      <c r="BN920">
        <v>63.73</v>
      </c>
      <c r="BO920">
        <v>63.73</v>
      </c>
      <c r="BQ920" t="s">
        <v>906</v>
      </c>
      <c r="BR920" t="s">
        <v>97</v>
      </c>
      <c r="BS920" s="3">
        <v>45939</v>
      </c>
      <c r="BT920" s="4">
        <v>0.4236111111111111</v>
      </c>
      <c r="BU920" t="s">
        <v>1327</v>
      </c>
      <c r="BV920" t="s">
        <v>86</v>
      </c>
      <c r="BY920">
        <v>1200</v>
      </c>
      <c r="CA920" t="s">
        <v>519</v>
      </c>
      <c r="CC920" t="s">
        <v>149</v>
      </c>
      <c r="CD920">
        <v>2094</v>
      </c>
      <c r="CE920" t="s">
        <v>147</v>
      </c>
      <c r="CF920" s="3">
        <v>45939</v>
      </c>
      <c r="CI920">
        <v>1</v>
      </c>
      <c r="CJ920">
        <v>1</v>
      </c>
      <c r="CK920">
        <v>22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"R080068291897"</f>
        <v>R080068291897</v>
      </c>
      <c r="F921" s="3">
        <v>45938</v>
      </c>
      <c r="G921">
        <v>202607</v>
      </c>
      <c r="H921" t="s">
        <v>79</v>
      </c>
      <c r="I921" t="s">
        <v>80</v>
      </c>
      <c r="J921" t="s">
        <v>1680</v>
      </c>
      <c r="K921" t="s">
        <v>78</v>
      </c>
      <c r="L921" t="s">
        <v>148</v>
      </c>
      <c r="M921" t="s">
        <v>149</v>
      </c>
      <c r="N921" t="s">
        <v>1681</v>
      </c>
      <c r="O921" t="s">
        <v>82</v>
      </c>
      <c r="P921" t="str">
        <f>"4170062849                    "</f>
        <v xml:space="preserve">4170062849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17.46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55.42</v>
      </c>
      <c r="BM921">
        <v>8.31</v>
      </c>
      <c r="BN921">
        <v>63.73</v>
      </c>
      <c r="BO921">
        <v>63.73</v>
      </c>
      <c r="BQ921" t="s">
        <v>1682</v>
      </c>
      <c r="BR921" t="s">
        <v>97</v>
      </c>
      <c r="BS921" s="3">
        <v>45939</v>
      </c>
      <c r="BT921" s="4">
        <v>0.63958333333333328</v>
      </c>
      <c r="BU921" t="s">
        <v>554</v>
      </c>
      <c r="BV921" t="s">
        <v>90</v>
      </c>
      <c r="BY921">
        <v>1200</v>
      </c>
      <c r="CA921" t="s">
        <v>1683</v>
      </c>
      <c r="CC921" t="s">
        <v>149</v>
      </c>
      <c r="CD921">
        <v>2000</v>
      </c>
      <c r="CE921" t="s">
        <v>147</v>
      </c>
      <c r="CF921" s="3">
        <v>45944</v>
      </c>
      <c r="CI921">
        <v>1</v>
      </c>
      <c r="CJ921">
        <v>1</v>
      </c>
      <c r="CK921">
        <v>22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"080068391062"</f>
        <v>080068391062</v>
      </c>
      <c r="F922" s="3">
        <v>45938</v>
      </c>
      <c r="G922">
        <v>202607</v>
      </c>
      <c r="H922" t="s">
        <v>79</v>
      </c>
      <c r="I922" t="s">
        <v>80</v>
      </c>
      <c r="J922" t="s">
        <v>91</v>
      </c>
      <c r="K922" t="s">
        <v>78</v>
      </c>
      <c r="L922" t="s">
        <v>1684</v>
      </c>
      <c r="M922" t="s">
        <v>1685</v>
      </c>
      <c r="N922" t="s">
        <v>1686</v>
      </c>
      <c r="O922" t="s">
        <v>82</v>
      </c>
      <c r="P922" t="str">
        <f>"4170063420                    "</f>
        <v xml:space="preserve">4170063420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43.31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137.47</v>
      </c>
      <c r="BM922">
        <v>20.62</v>
      </c>
      <c r="BN922">
        <v>158.09</v>
      </c>
      <c r="BO922">
        <v>158.09</v>
      </c>
      <c r="BQ922" t="s">
        <v>1687</v>
      </c>
      <c r="BR922" t="s">
        <v>97</v>
      </c>
      <c r="BS922" s="3">
        <v>45940</v>
      </c>
      <c r="BT922" s="4">
        <v>0.45208333333333334</v>
      </c>
      <c r="BU922" t="s">
        <v>1688</v>
      </c>
      <c r="BV922" t="s">
        <v>86</v>
      </c>
      <c r="BY922">
        <v>1200</v>
      </c>
      <c r="CC922" t="s">
        <v>1685</v>
      </c>
      <c r="CD922">
        <v>6742</v>
      </c>
      <c r="CE922" t="s">
        <v>147</v>
      </c>
      <c r="CF922" s="3">
        <v>45951</v>
      </c>
      <c r="CI922">
        <v>2</v>
      </c>
      <c r="CJ922">
        <v>2</v>
      </c>
      <c r="CK922">
        <v>23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"R080068337946"</f>
        <v>R080068337946</v>
      </c>
      <c r="F923" s="3">
        <v>45938</v>
      </c>
      <c r="G923">
        <v>202607</v>
      </c>
      <c r="H923" t="s">
        <v>79</v>
      </c>
      <c r="I923" t="s">
        <v>80</v>
      </c>
      <c r="J923" t="s">
        <v>1680</v>
      </c>
      <c r="K923" t="s">
        <v>78</v>
      </c>
      <c r="L923" t="s">
        <v>148</v>
      </c>
      <c r="M923" t="s">
        <v>149</v>
      </c>
      <c r="N923" t="s">
        <v>1681</v>
      </c>
      <c r="O923" t="s">
        <v>82</v>
      </c>
      <c r="P923" t="str">
        <f>"4170062887                    "</f>
        <v xml:space="preserve">4170062887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17.46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1.9</v>
      </c>
      <c r="BJ923">
        <v>4</v>
      </c>
      <c r="BK923">
        <v>4</v>
      </c>
      <c r="BL923">
        <v>55.42</v>
      </c>
      <c r="BM923">
        <v>8.31</v>
      </c>
      <c r="BN923">
        <v>63.73</v>
      </c>
      <c r="BO923">
        <v>63.73</v>
      </c>
      <c r="BQ923" t="s">
        <v>1689</v>
      </c>
      <c r="BR923" t="s">
        <v>97</v>
      </c>
      <c r="BS923" s="3">
        <v>45939</v>
      </c>
      <c r="BT923" s="4">
        <v>0.42708333333333331</v>
      </c>
      <c r="BU923" t="s">
        <v>1462</v>
      </c>
      <c r="BV923" t="s">
        <v>86</v>
      </c>
      <c r="BY923">
        <v>19750.5</v>
      </c>
      <c r="BZ923" t="s">
        <v>87</v>
      </c>
      <c r="CA923" t="s">
        <v>1463</v>
      </c>
      <c r="CC923" t="s">
        <v>149</v>
      </c>
      <c r="CD923">
        <v>2000</v>
      </c>
      <c r="CE923" t="s">
        <v>101</v>
      </c>
      <c r="CF923" s="3">
        <v>45940</v>
      </c>
      <c r="CI923">
        <v>1</v>
      </c>
      <c r="CJ923">
        <v>1</v>
      </c>
      <c r="CK923">
        <v>22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"080068391084"</f>
        <v>080068391084</v>
      </c>
      <c r="F924" s="3">
        <v>45938</v>
      </c>
      <c r="G924">
        <v>202607</v>
      </c>
      <c r="H924" t="s">
        <v>79</v>
      </c>
      <c r="I924" t="s">
        <v>80</v>
      </c>
      <c r="J924" t="s">
        <v>91</v>
      </c>
      <c r="K924" t="s">
        <v>78</v>
      </c>
      <c r="L924" t="s">
        <v>168</v>
      </c>
      <c r="M924" t="s">
        <v>169</v>
      </c>
      <c r="N924" t="s">
        <v>1304</v>
      </c>
      <c r="O924" t="s">
        <v>82</v>
      </c>
      <c r="P924" t="str">
        <f>"4170063532                    "</f>
        <v xml:space="preserve">4170063532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22.36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70.959999999999994</v>
      </c>
      <c r="BM924">
        <v>10.64</v>
      </c>
      <c r="BN924">
        <v>81.599999999999994</v>
      </c>
      <c r="BO924">
        <v>81.599999999999994</v>
      </c>
      <c r="BQ924" t="s">
        <v>1305</v>
      </c>
      <c r="BR924" t="s">
        <v>97</v>
      </c>
      <c r="BS924" s="3">
        <v>45939</v>
      </c>
      <c r="BT924" s="4">
        <v>0.42291666666666666</v>
      </c>
      <c r="BU924" t="s">
        <v>1306</v>
      </c>
      <c r="BV924" t="s">
        <v>86</v>
      </c>
      <c r="BY924">
        <v>1200</v>
      </c>
      <c r="CA924">
        <v>6703136078089</v>
      </c>
      <c r="CC924" t="s">
        <v>169</v>
      </c>
      <c r="CD924" s="5" t="s">
        <v>217</v>
      </c>
      <c r="CE924" t="s">
        <v>147</v>
      </c>
      <c r="CF924" s="3">
        <v>45939</v>
      </c>
      <c r="CI924">
        <v>1</v>
      </c>
      <c r="CJ924">
        <v>1</v>
      </c>
      <c r="CK924">
        <v>21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"080068391171"</f>
        <v>080068391171</v>
      </c>
      <c r="F925" s="3">
        <v>45938</v>
      </c>
      <c r="G925">
        <v>202607</v>
      </c>
      <c r="H925" t="s">
        <v>79</v>
      </c>
      <c r="I925" t="s">
        <v>80</v>
      </c>
      <c r="J925" t="s">
        <v>91</v>
      </c>
      <c r="K925" t="s">
        <v>78</v>
      </c>
      <c r="L925" t="s">
        <v>206</v>
      </c>
      <c r="M925" t="s">
        <v>207</v>
      </c>
      <c r="N925" t="s">
        <v>1690</v>
      </c>
      <c r="O925" t="s">
        <v>82</v>
      </c>
      <c r="P925" t="str">
        <f>"4170063488                    "</f>
        <v xml:space="preserve">4170063488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22.36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70.959999999999994</v>
      </c>
      <c r="BM925">
        <v>10.64</v>
      </c>
      <c r="BN925">
        <v>81.599999999999994</v>
      </c>
      <c r="BO925">
        <v>81.599999999999994</v>
      </c>
      <c r="BQ925" t="s">
        <v>1691</v>
      </c>
      <c r="BR925" t="s">
        <v>97</v>
      </c>
      <c r="BS925" s="3">
        <v>45939</v>
      </c>
      <c r="BT925" s="4">
        <v>0.3840277777777778</v>
      </c>
      <c r="BU925" t="s">
        <v>1692</v>
      </c>
      <c r="BV925" t="s">
        <v>86</v>
      </c>
      <c r="BY925">
        <v>1200</v>
      </c>
      <c r="CA925" t="s">
        <v>388</v>
      </c>
      <c r="CC925" t="s">
        <v>207</v>
      </c>
      <c r="CD925">
        <v>8000</v>
      </c>
      <c r="CE925" t="s">
        <v>147</v>
      </c>
      <c r="CF925" s="3">
        <v>45940</v>
      </c>
      <c r="CI925">
        <v>1</v>
      </c>
      <c r="CJ925">
        <v>1</v>
      </c>
      <c r="CK925">
        <v>21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"080068391204"</f>
        <v>080068391204</v>
      </c>
      <c r="F926" s="3">
        <v>45938</v>
      </c>
      <c r="G926">
        <v>202607</v>
      </c>
      <c r="H926" t="s">
        <v>79</v>
      </c>
      <c r="I926" t="s">
        <v>80</v>
      </c>
      <c r="J926" t="s">
        <v>91</v>
      </c>
      <c r="K926" t="s">
        <v>78</v>
      </c>
      <c r="L926" t="s">
        <v>79</v>
      </c>
      <c r="M926" t="s">
        <v>80</v>
      </c>
      <c r="N926" t="s">
        <v>1164</v>
      </c>
      <c r="O926" t="s">
        <v>82</v>
      </c>
      <c r="P926" t="str">
        <f>"4170063530                    "</f>
        <v xml:space="preserve">4170063530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17.46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55.42</v>
      </c>
      <c r="BM926">
        <v>8.31</v>
      </c>
      <c r="BN926">
        <v>63.73</v>
      </c>
      <c r="BO926">
        <v>63.73</v>
      </c>
      <c r="BQ926" t="s">
        <v>1165</v>
      </c>
      <c r="BR926" t="s">
        <v>97</v>
      </c>
      <c r="BS926" s="3">
        <v>45939</v>
      </c>
      <c r="BT926" s="4">
        <v>0.31805555555555554</v>
      </c>
      <c r="BU926" t="s">
        <v>1693</v>
      </c>
      <c r="BV926" t="s">
        <v>86</v>
      </c>
      <c r="BY926">
        <v>1200</v>
      </c>
      <c r="CA926" t="s">
        <v>419</v>
      </c>
      <c r="CC926" t="s">
        <v>80</v>
      </c>
      <c r="CD926">
        <v>1665</v>
      </c>
      <c r="CE926" t="s">
        <v>147</v>
      </c>
      <c r="CF926" s="3">
        <v>45940</v>
      </c>
      <c r="CI926">
        <v>1</v>
      </c>
      <c r="CJ926">
        <v>1</v>
      </c>
      <c r="CK926">
        <v>22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"080068391368"</f>
        <v>080068391368</v>
      </c>
      <c r="F927" s="3">
        <v>45938</v>
      </c>
      <c r="G927">
        <v>202607</v>
      </c>
      <c r="H927" t="s">
        <v>79</v>
      </c>
      <c r="I927" t="s">
        <v>80</v>
      </c>
      <c r="J927" t="s">
        <v>91</v>
      </c>
      <c r="K927" t="s">
        <v>78</v>
      </c>
      <c r="L927" t="s">
        <v>121</v>
      </c>
      <c r="M927" t="s">
        <v>122</v>
      </c>
      <c r="N927" t="s">
        <v>1119</v>
      </c>
      <c r="O927" t="s">
        <v>95</v>
      </c>
      <c r="P927" t="str">
        <f>"4170063583                    "</f>
        <v xml:space="preserve">4170063583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91.42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2</v>
      </c>
      <c r="BI927">
        <v>42</v>
      </c>
      <c r="BJ927">
        <v>25.3</v>
      </c>
      <c r="BK927">
        <v>42</v>
      </c>
      <c r="BL927">
        <v>296.02999999999997</v>
      </c>
      <c r="BM927">
        <v>44.4</v>
      </c>
      <c r="BN927">
        <v>340.43</v>
      </c>
      <c r="BO927">
        <v>340.43</v>
      </c>
      <c r="BQ927" t="s">
        <v>1694</v>
      </c>
      <c r="BR927" t="s">
        <v>97</v>
      </c>
      <c r="BS927" s="3">
        <v>45939</v>
      </c>
      <c r="BT927" s="4">
        <v>0.72847222222222219</v>
      </c>
      <c r="BU927" t="s">
        <v>1695</v>
      </c>
      <c r="BV927" t="s">
        <v>86</v>
      </c>
      <c r="BY927">
        <v>126540</v>
      </c>
      <c r="CA927" t="s">
        <v>1227</v>
      </c>
      <c r="CC927" t="s">
        <v>122</v>
      </c>
      <c r="CD927">
        <v>4017</v>
      </c>
      <c r="CE927" t="s">
        <v>191</v>
      </c>
      <c r="CF927" s="3">
        <v>45940</v>
      </c>
      <c r="CI927">
        <v>1</v>
      </c>
      <c r="CJ927">
        <v>1</v>
      </c>
      <c r="CK927">
        <v>41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"080068391401"</f>
        <v>080068391401</v>
      </c>
      <c r="F928" s="3">
        <v>45938</v>
      </c>
      <c r="G928">
        <v>202607</v>
      </c>
      <c r="H928" t="s">
        <v>79</v>
      </c>
      <c r="I928" t="s">
        <v>80</v>
      </c>
      <c r="J928" t="s">
        <v>91</v>
      </c>
      <c r="K928" t="s">
        <v>78</v>
      </c>
      <c r="L928" t="s">
        <v>79</v>
      </c>
      <c r="M928" t="s">
        <v>80</v>
      </c>
      <c r="N928" t="s">
        <v>577</v>
      </c>
      <c r="O928" t="s">
        <v>226</v>
      </c>
      <c r="P928" t="str">
        <f>"4170063347                    "</f>
        <v xml:space="preserve">4170063347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23.35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11</v>
      </c>
      <c r="BJ928">
        <v>4.0999999999999996</v>
      </c>
      <c r="BK928">
        <v>11</v>
      </c>
      <c r="BL928">
        <v>74.099999999999994</v>
      </c>
      <c r="BM928">
        <v>11.12</v>
      </c>
      <c r="BN928">
        <v>85.22</v>
      </c>
      <c r="BO928">
        <v>85.22</v>
      </c>
      <c r="BQ928" t="s">
        <v>578</v>
      </c>
      <c r="BR928" t="s">
        <v>97</v>
      </c>
      <c r="BS928" s="3">
        <v>45939</v>
      </c>
      <c r="BT928" s="4">
        <v>0.37013888888888891</v>
      </c>
      <c r="BU928" t="s">
        <v>579</v>
      </c>
      <c r="BV928" t="s">
        <v>86</v>
      </c>
      <c r="BY928">
        <v>20358</v>
      </c>
      <c r="CA928" t="s">
        <v>580</v>
      </c>
      <c r="CC928" t="s">
        <v>80</v>
      </c>
      <c r="CD928">
        <v>1619</v>
      </c>
      <c r="CE928" t="s">
        <v>191</v>
      </c>
      <c r="CF928" s="3">
        <v>45939</v>
      </c>
      <c r="CI928">
        <v>1</v>
      </c>
      <c r="CJ928">
        <v>1</v>
      </c>
      <c r="CK928">
        <v>32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"080068391474"</f>
        <v>080068391474</v>
      </c>
      <c r="F929" s="3">
        <v>45938</v>
      </c>
      <c r="G929">
        <v>202607</v>
      </c>
      <c r="H929" t="s">
        <v>79</v>
      </c>
      <c r="I929" t="s">
        <v>80</v>
      </c>
      <c r="J929" t="s">
        <v>91</v>
      </c>
      <c r="K929" t="s">
        <v>78</v>
      </c>
      <c r="L929" t="s">
        <v>168</v>
      </c>
      <c r="M929" t="s">
        <v>169</v>
      </c>
      <c r="N929" t="s">
        <v>923</v>
      </c>
      <c r="O929" t="s">
        <v>95</v>
      </c>
      <c r="P929" t="str">
        <f>"4170063436                    "</f>
        <v xml:space="preserve">4170063436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43.23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10</v>
      </c>
      <c r="BJ929">
        <v>4.0999999999999996</v>
      </c>
      <c r="BK929">
        <v>10</v>
      </c>
      <c r="BL929">
        <v>143.08000000000001</v>
      </c>
      <c r="BM929">
        <v>21.46</v>
      </c>
      <c r="BN929">
        <v>164.54</v>
      </c>
      <c r="BO929">
        <v>164.54</v>
      </c>
      <c r="BQ929" t="s">
        <v>924</v>
      </c>
      <c r="BR929" t="s">
        <v>97</v>
      </c>
      <c r="BS929" s="3">
        <v>45939</v>
      </c>
      <c r="BT929" s="4">
        <v>0.4465277777777778</v>
      </c>
      <c r="BU929" t="s">
        <v>1121</v>
      </c>
      <c r="BV929" t="s">
        <v>86</v>
      </c>
      <c r="BY929">
        <v>20358</v>
      </c>
      <c r="CC929" t="s">
        <v>169</v>
      </c>
      <c r="CD929" s="5" t="s">
        <v>926</v>
      </c>
      <c r="CE929" t="s">
        <v>191</v>
      </c>
      <c r="CF929" s="3">
        <v>45939</v>
      </c>
      <c r="CI929">
        <v>1</v>
      </c>
      <c r="CJ929">
        <v>1</v>
      </c>
      <c r="CK929">
        <v>41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"080068391544"</f>
        <v>080068391544</v>
      </c>
      <c r="F930" s="3">
        <v>45938</v>
      </c>
      <c r="G930">
        <v>202607</v>
      </c>
      <c r="H930" t="s">
        <v>79</v>
      </c>
      <c r="I930" t="s">
        <v>80</v>
      </c>
      <c r="J930" t="s">
        <v>91</v>
      </c>
      <c r="K930" t="s">
        <v>78</v>
      </c>
      <c r="L930" t="s">
        <v>809</v>
      </c>
      <c r="M930" t="s">
        <v>810</v>
      </c>
      <c r="N930" t="s">
        <v>811</v>
      </c>
      <c r="O930" t="s">
        <v>82</v>
      </c>
      <c r="P930" t="str">
        <f>"4170063547                    "</f>
        <v xml:space="preserve">4170063547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17.46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1.1000000000000001</v>
      </c>
      <c r="BK930">
        <v>2</v>
      </c>
      <c r="BL930">
        <v>55.42</v>
      </c>
      <c r="BM930">
        <v>8.31</v>
      </c>
      <c r="BN930">
        <v>63.73</v>
      </c>
      <c r="BO930">
        <v>63.73</v>
      </c>
      <c r="BQ930" t="s">
        <v>812</v>
      </c>
      <c r="BR930" t="s">
        <v>97</v>
      </c>
      <c r="BS930" s="3">
        <v>45939</v>
      </c>
      <c r="BT930" s="4">
        <v>0.34930555555555554</v>
      </c>
      <c r="BU930" t="s">
        <v>1696</v>
      </c>
      <c r="BV930" t="s">
        <v>86</v>
      </c>
      <c r="BY930">
        <v>5510</v>
      </c>
      <c r="CA930" t="s">
        <v>1582</v>
      </c>
      <c r="CC930" t="s">
        <v>810</v>
      </c>
      <c r="CD930">
        <v>1724</v>
      </c>
      <c r="CE930" t="s">
        <v>191</v>
      </c>
      <c r="CF930" s="3">
        <v>45939</v>
      </c>
      <c r="CI930">
        <v>1</v>
      </c>
      <c r="CJ930">
        <v>1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"080068391583"</f>
        <v>080068391583</v>
      </c>
      <c r="F931" s="3">
        <v>45938</v>
      </c>
      <c r="G931">
        <v>202607</v>
      </c>
      <c r="H931" t="s">
        <v>79</v>
      </c>
      <c r="I931" t="s">
        <v>80</v>
      </c>
      <c r="J931" t="s">
        <v>91</v>
      </c>
      <c r="K931" t="s">
        <v>78</v>
      </c>
      <c r="L931" t="s">
        <v>79</v>
      </c>
      <c r="M931" t="s">
        <v>80</v>
      </c>
      <c r="N931" t="s">
        <v>694</v>
      </c>
      <c r="O931" t="s">
        <v>226</v>
      </c>
      <c r="P931" t="str">
        <f>"4170063484                    "</f>
        <v xml:space="preserve">4170063484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17.47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3</v>
      </c>
      <c r="BJ931">
        <v>1.9</v>
      </c>
      <c r="BK931">
        <v>3</v>
      </c>
      <c r="BL931">
        <v>55.44</v>
      </c>
      <c r="BM931">
        <v>8.32</v>
      </c>
      <c r="BN931">
        <v>63.76</v>
      </c>
      <c r="BO931">
        <v>63.76</v>
      </c>
      <c r="BQ931" t="s">
        <v>695</v>
      </c>
      <c r="BR931" t="s">
        <v>97</v>
      </c>
      <c r="BS931" s="3">
        <v>45939</v>
      </c>
      <c r="BT931" s="4">
        <v>0.33611111111111114</v>
      </c>
      <c r="BU931" t="s">
        <v>1697</v>
      </c>
      <c r="BV931" t="s">
        <v>86</v>
      </c>
      <c r="BY931">
        <v>9367</v>
      </c>
      <c r="CA931" t="s">
        <v>88</v>
      </c>
      <c r="CC931" t="s">
        <v>80</v>
      </c>
      <c r="CD931">
        <v>1601</v>
      </c>
      <c r="CE931" t="s">
        <v>191</v>
      </c>
      <c r="CF931" s="3">
        <v>45940</v>
      </c>
      <c r="CI931">
        <v>1</v>
      </c>
      <c r="CJ931">
        <v>1</v>
      </c>
      <c r="CK931">
        <v>32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"080068391658"</f>
        <v>080068391658</v>
      </c>
      <c r="F932" s="3">
        <v>45938</v>
      </c>
      <c r="G932">
        <v>202607</v>
      </c>
      <c r="H932" t="s">
        <v>79</v>
      </c>
      <c r="I932" t="s">
        <v>80</v>
      </c>
      <c r="J932" t="s">
        <v>91</v>
      </c>
      <c r="K932" t="s">
        <v>78</v>
      </c>
      <c r="L932" t="s">
        <v>333</v>
      </c>
      <c r="M932" t="s">
        <v>334</v>
      </c>
      <c r="N932" t="s">
        <v>335</v>
      </c>
      <c r="O932" t="s">
        <v>82</v>
      </c>
      <c r="P932" t="str">
        <f>"4170063502                    "</f>
        <v xml:space="preserve">4170063502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22.36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1.8</v>
      </c>
      <c r="BK932">
        <v>2</v>
      </c>
      <c r="BL932">
        <v>70.959999999999994</v>
      </c>
      <c r="BM932">
        <v>10.64</v>
      </c>
      <c r="BN932">
        <v>81.599999999999994</v>
      </c>
      <c r="BO932">
        <v>81.599999999999994</v>
      </c>
      <c r="BQ932" t="s">
        <v>336</v>
      </c>
      <c r="BR932" t="s">
        <v>97</v>
      </c>
      <c r="BS932" s="3">
        <v>45939</v>
      </c>
      <c r="BT932" s="4">
        <v>0.42708333333333331</v>
      </c>
      <c r="BU932" t="s">
        <v>1698</v>
      </c>
      <c r="BV932" t="s">
        <v>86</v>
      </c>
      <c r="BY932">
        <v>8816</v>
      </c>
      <c r="CA932" t="s">
        <v>142</v>
      </c>
      <c r="CC932" t="s">
        <v>334</v>
      </c>
      <c r="CD932">
        <v>6220</v>
      </c>
      <c r="CE932" t="s">
        <v>191</v>
      </c>
      <c r="CF932" s="3">
        <v>45939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"080068391717"</f>
        <v>080068391717</v>
      </c>
      <c r="F933" s="3">
        <v>45938</v>
      </c>
      <c r="G933">
        <v>202607</v>
      </c>
      <c r="H933" t="s">
        <v>79</v>
      </c>
      <c r="I933" t="s">
        <v>80</v>
      </c>
      <c r="J933" t="s">
        <v>91</v>
      </c>
      <c r="K933" t="s">
        <v>78</v>
      </c>
      <c r="L933" t="s">
        <v>92</v>
      </c>
      <c r="M933" t="s">
        <v>93</v>
      </c>
      <c r="N933" t="s">
        <v>1179</v>
      </c>
      <c r="O933" t="s">
        <v>82</v>
      </c>
      <c r="P933" t="str">
        <f>"4170063527                    "</f>
        <v xml:space="preserve">4170063527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33.520000000000003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16.739999999999998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3</v>
      </c>
      <c r="BJ933">
        <v>1.1000000000000001</v>
      </c>
      <c r="BK933">
        <v>3</v>
      </c>
      <c r="BL933">
        <v>123.14</v>
      </c>
      <c r="BM933">
        <v>18.47</v>
      </c>
      <c r="BN933">
        <v>141.61000000000001</v>
      </c>
      <c r="BO933">
        <v>141.61000000000001</v>
      </c>
      <c r="BQ933" t="s">
        <v>1180</v>
      </c>
      <c r="BR933" t="s">
        <v>97</v>
      </c>
      <c r="BS933" s="3">
        <v>45939</v>
      </c>
      <c r="BT933" s="4">
        <v>0.41319444444444442</v>
      </c>
      <c r="BU933" t="s">
        <v>1181</v>
      </c>
      <c r="BV933" t="s">
        <v>86</v>
      </c>
      <c r="BY933">
        <v>5510</v>
      </c>
      <c r="BZ933" t="s">
        <v>30</v>
      </c>
      <c r="CA933" t="s">
        <v>1699</v>
      </c>
      <c r="CC933" t="s">
        <v>93</v>
      </c>
      <c r="CD933">
        <v>3699</v>
      </c>
      <c r="CE933" t="s">
        <v>191</v>
      </c>
      <c r="CF933" s="3">
        <v>45940</v>
      </c>
      <c r="CI933">
        <v>1</v>
      </c>
      <c r="CJ933">
        <v>1</v>
      </c>
      <c r="CK933">
        <v>21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"080068391766"</f>
        <v>080068391766</v>
      </c>
      <c r="F934" s="3">
        <v>45938</v>
      </c>
      <c r="G934">
        <v>202607</v>
      </c>
      <c r="H934" t="s">
        <v>79</v>
      </c>
      <c r="I934" t="s">
        <v>80</v>
      </c>
      <c r="J934" t="s">
        <v>91</v>
      </c>
      <c r="K934" t="s">
        <v>78</v>
      </c>
      <c r="L934" t="s">
        <v>92</v>
      </c>
      <c r="M934" t="s">
        <v>93</v>
      </c>
      <c r="N934" t="s">
        <v>601</v>
      </c>
      <c r="O934" t="s">
        <v>82</v>
      </c>
      <c r="P934" t="str">
        <f>"4170063456                    "</f>
        <v xml:space="preserve">4170063456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44.69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4</v>
      </c>
      <c r="BJ934">
        <v>2.2000000000000002</v>
      </c>
      <c r="BK934">
        <v>4</v>
      </c>
      <c r="BL934">
        <v>141.85</v>
      </c>
      <c r="BM934">
        <v>21.28</v>
      </c>
      <c r="BN934">
        <v>163.13</v>
      </c>
      <c r="BO934">
        <v>163.13</v>
      </c>
      <c r="BQ934" t="s">
        <v>602</v>
      </c>
      <c r="BR934" t="s">
        <v>97</v>
      </c>
      <c r="BS934" s="3">
        <v>45939</v>
      </c>
      <c r="BT934" s="4">
        <v>0.49652777777777779</v>
      </c>
      <c r="BU934" t="s">
        <v>1700</v>
      </c>
      <c r="BV934" t="s">
        <v>86</v>
      </c>
      <c r="BY934">
        <v>10950</v>
      </c>
      <c r="CA934" t="s">
        <v>146</v>
      </c>
      <c r="CC934" t="s">
        <v>93</v>
      </c>
      <c r="CD934">
        <v>3212</v>
      </c>
      <c r="CE934" t="s">
        <v>107</v>
      </c>
      <c r="CF934" s="3">
        <v>45940</v>
      </c>
      <c r="CI934">
        <v>2</v>
      </c>
      <c r="CJ934">
        <v>1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"080068391831"</f>
        <v>080068391831</v>
      </c>
      <c r="F935" s="3">
        <v>45938</v>
      </c>
      <c r="G935">
        <v>202607</v>
      </c>
      <c r="H935" t="s">
        <v>79</v>
      </c>
      <c r="I935" t="s">
        <v>80</v>
      </c>
      <c r="J935" t="s">
        <v>91</v>
      </c>
      <c r="K935" t="s">
        <v>78</v>
      </c>
      <c r="L935" t="s">
        <v>809</v>
      </c>
      <c r="M935" t="s">
        <v>810</v>
      </c>
      <c r="N935" t="s">
        <v>811</v>
      </c>
      <c r="O935" t="s">
        <v>226</v>
      </c>
      <c r="P935" t="str">
        <f>"4170063460                    "</f>
        <v xml:space="preserve">4170063460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17.47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6</v>
      </c>
      <c r="BJ935">
        <v>2.8</v>
      </c>
      <c r="BK935">
        <v>6</v>
      </c>
      <c r="BL935">
        <v>55.44</v>
      </c>
      <c r="BM935">
        <v>8.32</v>
      </c>
      <c r="BN935">
        <v>63.76</v>
      </c>
      <c r="BO935">
        <v>63.76</v>
      </c>
      <c r="BQ935" t="s">
        <v>812</v>
      </c>
      <c r="BR935" t="s">
        <v>97</v>
      </c>
      <c r="BS935" s="3">
        <v>45939</v>
      </c>
      <c r="BT935" s="4">
        <v>0.34930555555555554</v>
      </c>
      <c r="BU935" t="s">
        <v>1701</v>
      </c>
      <c r="BV935" t="s">
        <v>86</v>
      </c>
      <c r="BY935">
        <v>14168</v>
      </c>
      <c r="CA935" t="s">
        <v>1582</v>
      </c>
      <c r="CC935" t="s">
        <v>810</v>
      </c>
      <c r="CD935">
        <v>1724</v>
      </c>
      <c r="CE935" t="s">
        <v>107</v>
      </c>
      <c r="CF935" s="3">
        <v>45939</v>
      </c>
      <c r="CI935">
        <v>1</v>
      </c>
      <c r="CJ935">
        <v>1</v>
      </c>
      <c r="CK935">
        <v>32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"080068391878"</f>
        <v>080068391878</v>
      </c>
      <c r="F936" s="3">
        <v>45938</v>
      </c>
      <c r="G936">
        <v>202607</v>
      </c>
      <c r="H936" t="s">
        <v>79</v>
      </c>
      <c r="I936" t="s">
        <v>80</v>
      </c>
      <c r="J936" t="s">
        <v>91</v>
      </c>
      <c r="K936" t="s">
        <v>78</v>
      </c>
      <c r="L936" t="s">
        <v>79</v>
      </c>
      <c r="M936" t="s">
        <v>80</v>
      </c>
      <c r="N936" t="s">
        <v>357</v>
      </c>
      <c r="O936" t="s">
        <v>82</v>
      </c>
      <c r="P936" t="str">
        <f>"4170063614                    "</f>
        <v xml:space="preserve">4170063614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17.46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1.1000000000000001</v>
      </c>
      <c r="BK936">
        <v>2</v>
      </c>
      <c r="BL936">
        <v>55.42</v>
      </c>
      <c r="BM936">
        <v>8.31</v>
      </c>
      <c r="BN936">
        <v>63.73</v>
      </c>
      <c r="BO936">
        <v>63.73</v>
      </c>
      <c r="BQ936" t="s">
        <v>358</v>
      </c>
      <c r="BR936" t="s">
        <v>97</v>
      </c>
      <c r="BS936" s="3">
        <v>45939</v>
      </c>
      <c r="BT936" s="4">
        <v>0.41666666666666669</v>
      </c>
      <c r="BU936" t="s">
        <v>1702</v>
      </c>
      <c r="BV936" t="s">
        <v>86</v>
      </c>
      <c r="BY936">
        <v>5510</v>
      </c>
      <c r="CC936" t="s">
        <v>80</v>
      </c>
      <c r="CD936">
        <v>1645</v>
      </c>
      <c r="CE936" t="s">
        <v>191</v>
      </c>
      <c r="CF936" s="3">
        <v>45940</v>
      </c>
      <c r="CI936">
        <v>1</v>
      </c>
      <c r="CJ936">
        <v>1</v>
      </c>
      <c r="CK936">
        <v>22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"080068391925"</f>
        <v>080068391925</v>
      </c>
      <c r="F937" s="3">
        <v>45938</v>
      </c>
      <c r="G937">
        <v>202607</v>
      </c>
      <c r="H937" t="s">
        <v>79</v>
      </c>
      <c r="I937" t="s">
        <v>80</v>
      </c>
      <c r="J937" t="s">
        <v>91</v>
      </c>
      <c r="K937" t="s">
        <v>78</v>
      </c>
      <c r="L937" t="s">
        <v>453</v>
      </c>
      <c r="M937" t="s">
        <v>454</v>
      </c>
      <c r="N937" t="s">
        <v>455</v>
      </c>
      <c r="O937" t="s">
        <v>82</v>
      </c>
      <c r="P937" t="str">
        <f>"4170063522                    "</f>
        <v xml:space="preserve">4170063522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33.520000000000003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3</v>
      </c>
      <c r="BJ937">
        <v>1.5</v>
      </c>
      <c r="BK937">
        <v>3</v>
      </c>
      <c r="BL937">
        <v>106.4</v>
      </c>
      <c r="BM937">
        <v>15.96</v>
      </c>
      <c r="BN937">
        <v>122.36</v>
      </c>
      <c r="BO937">
        <v>122.36</v>
      </c>
      <c r="BQ937" t="s">
        <v>456</v>
      </c>
      <c r="BR937" t="s">
        <v>97</v>
      </c>
      <c r="BS937" s="3">
        <v>45939</v>
      </c>
      <c r="BT937" s="4">
        <v>0.38958333333333334</v>
      </c>
      <c r="BU937" t="s">
        <v>434</v>
      </c>
      <c r="BV937" t="s">
        <v>86</v>
      </c>
      <c r="BY937">
        <v>7680</v>
      </c>
      <c r="CA937" t="s">
        <v>457</v>
      </c>
      <c r="CC937" t="s">
        <v>454</v>
      </c>
      <c r="CD937">
        <v>3608</v>
      </c>
      <c r="CE937" t="s">
        <v>107</v>
      </c>
      <c r="CF937" s="3">
        <v>45939</v>
      </c>
      <c r="CI937">
        <v>1</v>
      </c>
      <c r="CJ937">
        <v>1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"080068392024"</f>
        <v>080068392024</v>
      </c>
      <c r="F938" s="3">
        <v>45938</v>
      </c>
      <c r="G938">
        <v>202607</v>
      </c>
      <c r="H938" t="s">
        <v>79</v>
      </c>
      <c r="I938" t="s">
        <v>80</v>
      </c>
      <c r="J938" t="s">
        <v>91</v>
      </c>
      <c r="K938" t="s">
        <v>78</v>
      </c>
      <c r="L938" t="s">
        <v>168</v>
      </c>
      <c r="M938" t="s">
        <v>169</v>
      </c>
      <c r="N938" t="s">
        <v>335</v>
      </c>
      <c r="O938" t="s">
        <v>82</v>
      </c>
      <c r="P938" t="str">
        <f>"4170063457                    "</f>
        <v xml:space="preserve">4170063457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22.36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1.5</v>
      </c>
      <c r="BK938">
        <v>1.5</v>
      </c>
      <c r="BL938">
        <v>70.959999999999994</v>
      </c>
      <c r="BM938">
        <v>10.64</v>
      </c>
      <c r="BN938">
        <v>81.599999999999994</v>
      </c>
      <c r="BO938">
        <v>81.599999999999994</v>
      </c>
      <c r="BQ938" t="s">
        <v>475</v>
      </c>
      <c r="BR938" t="s">
        <v>97</v>
      </c>
      <c r="BS938" s="3">
        <v>45939</v>
      </c>
      <c r="BT938" s="4">
        <v>0.42986111111111114</v>
      </c>
      <c r="BU938" t="s">
        <v>897</v>
      </c>
      <c r="BV938" t="s">
        <v>86</v>
      </c>
      <c r="BY938">
        <v>7714</v>
      </c>
      <c r="CA938">
        <v>8303236124087</v>
      </c>
      <c r="CC938" t="s">
        <v>169</v>
      </c>
      <c r="CD938" s="5" t="s">
        <v>190</v>
      </c>
      <c r="CE938" t="s">
        <v>191</v>
      </c>
      <c r="CF938" s="3">
        <v>45939</v>
      </c>
      <c r="CI938">
        <v>1</v>
      </c>
      <c r="CJ938">
        <v>1</v>
      </c>
      <c r="CK938">
        <v>21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"080068392299"</f>
        <v>080068392299</v>
      </c>
      <c r="F939" s="3">
        <v>45938</v>
      </c>
      <c r="G939">
        <v>202607</v>
      </c>
      <c r="H939" t="s">
        <v>79</v>
      </c>
      <c r="I939" t="s">
        <v>80</v>
      </c>
      <c r="J939" t="s">
        <v>91</v>
      </c>
      <c r="K939" t="s">
        <v>78</v>
      </c>
      <c r="L939" t="s">
        <v>271</v>
      </c>
      <c r="M939" t="s">
        <v>272</v>
      </c>
      <c r="N939" t="s">
        <v>443</v>
      </c>
      <c r="O939" t="s">
        <v>226</v>
      </c>
      <c r="P939" t="str">
        <f>"4170063576                    "</f>
        <v xml:space="preserve">4170063576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17.47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</v>
      </c>
      <c r="BJ939">
        <v>3.4</v>
      </c>
      <c r="BK939">
        <v>4</v>
      </c>
      <c r="BL939">
        <v>55.44</v>
      </c>
      <c r="BM939">
        <v>8.32</v>
      </c>
      <c r="BN939">
        <v>63.76</v>
      </c>
      <c r="BO939">
        <v>63.76</v>
      </c>
      <c r="BQ939" t="s">
        <v>444</v>
      </c>
      <c r="BR939" t="s">
        <v>97</v>
      </c>
      <c r="BS939" s="3">
        <v>45939</v>
      </c>
      <c r="BT939" s="4">
        <v>0.47986111111111113</v>
      </c>
      <c r="BU939" t="s">
        <v>1703</v>
      </c>
      <c r="BV939" t="s">
        <v>86</v>
      </c>
      <c r="BY939">
        <v>16965</v>
      </c>
      <c r="CA939" t="s">
        <v>661</v>
      </c>
      <c r="CC939" t="s">
        <v>272</v>
      </c>
      <c r="CD939">
        <v>1428</v>
      </c>
      <c r="CE939" t="s">
        <v>191</v>
      </c>
      <c r="CF939" s="3">
        <v>45940</v>
      </c>
      <c r="CI939">
        <v>1</v>
      </c>
      <c r="CJ939">
        <v>1</v>
      </c>
      <c r="CK939">
        <v>32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"080068392449"</f>
        <v>080068392449</v>
      </c>
      <c r="F940" s="3">
        <v>45938</v>
      </c>
      <c r="G940">
        <v>202607</v>
      </c>
      <c r="H940" t="s">
        <v>79</v>
      </c>
      <c r="I940" t="s">
        <v>80</v>
      </c>
      <c r="J940" t="s">
        <v>91</v>
      </c>
      <c r="K940" t="s">
        <v>78</v>
      </c>
      <c r="L940" t="s">
        <v>306</v>
      </c>
      <c r="M940" t="s">
        <v>307</v>
      </c>
      <c r="N940" t="s">
        <v>335</v>
      </c>
      <c r="O940" t="s">
        <v>82</v>
      </c>
      <c r="P940" t="str">
        <f>"4170063616                    "</f>
        <v xml:space="preserve">4170063616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78.2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7</v>
      </c>
      <c r="BJ940">
        <v>4.3</v>
      </c>
      <c r="BK940">
        <v>7</v>
      </c>
      <c r="BL940">
        <v>248.2</v>
      </c>
      <c r="BM940">
        <v>37.229999999999997</v>
      </c>
      <c r="BN940">
        <v>285.43</v>
      </c>
      <c r="BO940">
        <v>285.43</v>
      </c>
      <c r="BQ940" t="s">
        <v>475</v>
      </c>
      <c r="BR940" t="s">
        <v>97</v>
      </c>
      <c r="BS940" s="3">
        <v>45939</v>
      </c>
      <c r="BT940" s="4">
        <v>0.57638888888888884</v>
      </c>
      <c r="BU940" t="s">
        <v>1704</v>
      </c>
      <c r="BV940" t="s">
        <v>90</v>
      </c>
      <c r="BW940" t="s">
        <v>136</v>
      </c>
      <c r="BX940" t="s">
        <v>858</v>
      </c>
      <c r="BY940">
        <v>21708</v>
      </c>
      <c r="CA940" t="s">
        <v>157</v>
      </c>
      <c r="CC940" t="s">
        <v>307</v>
      </c>
      <c r="CD940">
        <v>4133</v>
      </c>
      <c r="CE940" t="s">
        <v>107</v>
      </c>
      <c r="CF940" s="3">
        <v>45940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"080068392552"</f>
        <v>080068392552</v>
      </c>
      <c r="F941" s="3">
        <v>45938</v>
      </c>
      <c r="G941">
        <v>202607</v>
      </c>
      <c r="H941" t="s">
        <v>79</v>
      </c>
      <c r="I941" t="s">
        <v>80</v>
      </c>
      <c r="J941" t="s">
        <v>91</v>
      </c>
      <c r="K941" t="s">
        <v>78</v>
      </c>
      <c r="L941" t="s">
        <v>218</v>
      </c>
      <c r="M941" t="s">
        <v>219</v>
      </c>
      <c r="N941" t="s">
        <v>898</v>
      </c>
      <c r="O941" t="s">
        <v>82</v>
      </c>
      <c r="P941" t="str">
        <f>"4170063545                    "</f>
        <v xml:space="preserve">4170063545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17.46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3.4</v>
      </c>
      <c r="BK941">
        <v>4</v>
      </c>
      <c r="BL941">
        <v>55.42</v>
      </c>
      <c r="BM941">
        <v>8.31</v>
      </c>
      <c r="BN941">
        <v>63.73</v>
      </c>
      <c r="BO941">
        <v>63.73</v>
      </c>
      <c r="BQ941" t="s">
        <v>899</v>
      </c>
      <c r="BR941" t="s">
        <v>97</v>
      </c>
      <c r="BS941" s="3">
        <v>45939</v>
      </c>
      <c r="BT941" s="4">
        <v>0.31736111111111109</v>
      </c>
      <c r="BU941" t="s">
        <v>1535</v>
      </c>
      <c r="BV941" t="s">
        <v>86</v>
      </c>
      <c r="BY941">
        <v>17024</v>
      </c>
      <c r="CA941" t="s">
        <v>1434</v>
      </c>
      <c r="CC941" t="s">
        <v>219</v>
      </c>
      <c r="CD941">
        <v>1559</v>
      </c>
      <c r="CE941" t="s">
        <v>107</v>
      </c>
      <c r="CF941" s="3">
        <v>45939</v>
      </c>
      <c r="CI941">
        <v>1</v>
      </c>
      <c r="CJ941">
        <v>1</v>
      </c>
      <c r="CK941">
        <v>22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"080068392594"</f>
        <v>080068392594</v>
      </c>
      <c r="F942" s="3">
        <v>45938</v>
      </c>
      <c r="G942">
        <v>202607</v>
      </c>
      <c r="H942" t="s">
        <v>79</v>
      </c>
      <c r="I942" t="s">
        <v>80</v>
      </c>
      <c r="J942" t="s">
        <v>91</v>
      </c>
      <c r="K942" t="s">
        <v>78</v>
      </c>
      <c r="L942" t="s">
        <v>605</v>
      </c>
      <c r="M942" t="s">
        <v>606</v>
      </c>
      <c r="N942" t="s">
        <v>607</v>
      </c>
      <c r="O942" t="s">
        <v>95</v>
      </c>
      <c r="P942" t="str">
        <f>"4170063556                    "</f>
        <v xml:space="preserve">4170063556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60.97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6</v>
      </c>
      <c r="BJ942">
        <v>2.6</v>
      </c>
      <c r="BK942">
        <v>6</v>
      </c>
      <c r="BL942">
        <v>199.39</v>
      </c>
      <c r="BM942">
        <v>29.91</v>
      </c>
      <c r="BN942">
        <v>229.3</v>
      </c>
      <c r="BO942">
        <v>229.3</v>
      </c>
      <c r="BQ942" t="s">
        <v>608</v>
      </c>
      <c r="BR942" t="s">
        <v>97</v>
      </c>
      <c r="BS942" s="3">
        <v>45939</v>
      </c>
      <c r="BT942" s="4">
        <v>0.32500000000000001</v>
      </c>
      <c r="BU942" t="s">
        <v>1705</v>
      </c>
      <c r="BV942" t="s">
        <v>86</v>
      </c>
      <c r="BY942">
        <v>12768</v>
      </c>
      <c r="CA942" t="s">
        <v>1143</v>
      </c>
      <c r="CC942" t="s">
        <v>606</v>
      </c>
      <c r="CD942">
        <v>1947</v>
      </c>
      <c r="CE942" t="s">
        <v>931</v>
      </c>
      <c r="CF942" s="3">
        <v>45939</v>
      </c>
      <c r="CI942">
        <v>1</v>
      </c>
      <c r="CJ942">
        <v>1</v>
      </c>
      <c r="CK942">
        <v>43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"080068392639"</f>
        <v>080068392639</v>
      </c>
      <c r="F943" s="3">
        <v>45938</v>
      </c>
      <c r="G943">
        <v>202607</v>
      </c>
      <c r="H943" t="s">
        <v>79</v>
      </c>
      <c r="I943" t="s">
        <v>80</v>
      </c>
      <c r="J943" t="s">
        <v>91</v>
      </c>
      <c r="K943" t="s">
        <v>78</v>
      </c>
      <c r="L943" t="s">
        <v>114</v>
      </c>
      <c r="M943" t="s">
        <v>115</v>
      </c>
      <c r="N943" t="s">
        <v>746</v>
      </c>
      <c r="O943" t="s">
        <v>82</v>
      </c>
      <c r="P943" t="str">
        <f>"4170063511                    "</f>
        <v xml:space="preserve">4170063511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22.36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0.9</v>
      </c>
      <c r="BK943">
        <v>1</v>
      </c>
      <c r="BL943">
        <v>70.959999999999994</v>
      </c>
      <c r="BM943">
        <v>10.64</v>
      </c>
      <c r="BN943">
        <v>81.599999999999994</v>
      </c>
      <c r="BO943">
        <v>81.599999999999994</v>
      </c>
      <c r="BQ943" t="s">
        <v>747</v>
      </c>
      <c r="BR943" t="s">
        <v>97</v>
      </c>
      <c r="BS943" s="3">
        <v>45939</v>
      </c>
      <c r="BT943" s="4">
        <v>0.51875000000000004</v>
      </c>
      <c r="BU943" t="s">
        <v>748</v>
      </c>
      <c r="BV943" t="s">
        <v>90</v>
      </c>
      <c r="BY943">
        <v>4400</v>
      </c>
      <c r="CA943" t="s">
        <v>749</v>
      </c>
      <c r="CC943" t="s">
        <v>115</v>
      </c>
      <c r="CD943">
        <v>5201</v>
      </c>
      <c r="CE943" t="s">
        <v>107</v>
      </c>
      <c r="CF943" s="3">
        <v>45940</v>
      </c>
      <c r="CI943">
        <v>1</v>
      </c>
      <c r="CJ943">
        <v>1</v>
      </c>
      <c r="CK943">
        <v>21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"080068392684"</f>
        <v>080068392684</v>
      </c>
      <c r="F944" s="3">
        <v>45938</v>
      </c>
      <c r="G944">
        <v>202607</v>
      </c>
      <c r="H944" t="s">
        <v>79</v>
      </c>
      <c r="I944" t="s">
        <v>80</v>
      </c>
      <c r="J944" t="s">
        <v>91</v>
      </c>
      <c r="K944" t="s">
        <v>78</v>
      </c>
      <c r="L944" t="s">
        <v>114</v>
      </c>
      <c r="M944" t="s">
        <v>115</v>
      </c>
      <c r="N944" t="s">
        <v>746</v>
      </c>
      <c r="O944" t="s">
        <v>82</v>
      </c>
      <c r="P944" t="str">
        <f>"4170063448                    "</f>
        <v xml:space="preserve">4170063448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44.69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4</v>
      </c>
      <c r="BJ944">
        <v>1.9</v>
      </c>
      <c r="BK944">
        <v>4</v>
      </c>
      <c r="BL944">
        <v>141.85</v>
      </c>
      <c r="BM944">
        <v>21.28</v>
      </c>
      <c r="BN944">
        <v>163.13</v>
      </c>
      <c r="BO944">
        <v>163.13</v>
      </c>
      <c r="BQ944" t="s">
        <v>747</v>
      </c>
      <c r="BR944" t="s">
        <v>97</v>
      </c>
      <c r="BS944" s="3">
        <v>45939</v>
      </c>
      <c r="BT944" s="4">
        <v>0.51875000000000004</v>
      </c>
      <c r="BU944" t="s">
        <v>1706</v>
      </c>
      <c r="BV944" t="s">
        <v>90</v>
      </c>
      <c r="BY944">
        <v>9360</v>
      </c>
      <c r="CA944" t="s">
        <v>749</v>
      </c>
      <c r="CC944" t="s">
        <v>115</v>
      </c>
      <c r="CD944">
        <v>5201</v>
      </c>
      <c r="CE944" t="s">
        <v>107</v>
      </c>
      <c r="CF944" s="3">
        <v>45940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"080068392719"</f>
        <v>080068392719</v>
      </c>
      <c r="F945" s="3">
        <v>45938</v>
      </c>
      <c r="G945">
        <v>202607</v>
      </c>
      <c r="H945" t="s">
        <v>79</v>
      </c>
      <c r="I945" t="s">
        <v>80</v>
      </c>
      <c r="J945" t="s">
        <v>91</v>
      </c>
      <c r="K945" t="s">
        <v>78</v>
      </c>
      <c r="L945" t="s">
        <v>148</v>
      </c>
      <c r="M945" t="s">
        <v>149</v>
      </c>
      <c r="N945" t="s">
        <v>465</v>
      </c>
      <c r="O945" t="s">
        <v>226</v>
      </c>
      <c r="P945" t="str">
        <f>"4170063517                    "</f>
        <v xml:space="preserve">4170063517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17.47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4</v>
      </c>
      <c r="BJ945">
        <v>1.1000000000000001</v>
      </c>
      <c r="BK945">
        <v>4</v>
      </c>
      <c r="BL945">
        <v>55.44</v>
      </c>
      <c r="BM945">
        <v>8.32</v>
      </c>
      <c r="BN945">
        <v>63.76</v>
      </c>
      <c r="BO945">
        <v>63.76</v>
      </c>
      <c r="BQ945" t="s">
        <v>466</v>
      </c>
      <c r="BR945" t="s">
        <v>97</v>
      </c>
      <c r="BS945" s="3">
        <v>45939</v>
      </c>
      <c r="BT945" s="4">
        <v>0.40486111111111112</v>
      </c>
      <c r="BU945" t="s">
        <v>792</v>
      </c>
      <c r="BV945" t="s">
        <v>86</v>
      </c>
      <c r="BY945">
        <v>5510</v>
      </c>
      <c r="CA945" t="s">
        <v>519</v>
      </c>
      <c r="CC945" t="s">
        <v>149</v>
      </c>
      <c r="CD945">
        <v>2094</v>
      </c>
      <c r="CE945" t="s">
        <v>191</v>
      </c>
      <c r="CF945" s="3">
        <v>45939</v>
      </c>
      <c r="CI945">
        <v>1</v>
      </c>
      <c r="CJ945">
        <v>1</v>
      </c>
      <c r="CK945">
        <v>32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"080068392756"</f>
        <v>080068392756</v>
      </c>
      <c r="F946" s="3">
        <v>45938</v>
      </c>
      <c r="G946">
        <v>202607</v>
      </c>
      <c r="H946" t="s">
        <v>79</v>
      </c>
      <c r="I946" t="s">
        <v>80</v>
      </c>
      <c r="J946" t="s">
        <v>91</v>
      </c>
      <c r="K946" t="s">
        <v>78</v>
      </c>
      <c r="L946" t="s">
        <v>79</v>
      </c>
      <c r="M946" t="s">
        <v>80</v>
      </c>
      <c r="N946" t="s">
        <v>539</v>
      </c>
      <c r="O946" t="s">
        <v>82</v>
      </c>
      <c r="P946" t="str">
        <f>"4170063454                    "</f>
        <v xml:space="preserve">4170063454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17.46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1.8</v>
      </c>
      <c r="BK946">
        <v>2</v>
      </c>
      <c r="BL946">
        <v>55.42</v>
      </c>
      <c r="BM946">
        <v>8.31</v>
      </c>
      <c r="BN946">
        <v>63.73</v>
      </c>
      <c r="BO946">
        <v>63.73</v>
      </c>
      <c r="BQ946" t="s">
        <v>540</v>
      </c>
      <c r="BR946" t="s">
        <v>97</v>
      </c>
      <c r="BS946" s="3">
        <v>45939</v>
      </c>
      <c r="BT946" s="4">
        <v>0.40277777777777779</v>
      </c>
      <c r="BU946" t="s">
        <v>781</v>
      </c>
      <c r="BV946" t="s">
        <v>86</v>
      </c>
      <c r="BY946">
        <v>8816</v>
      </c>
      <c r="CA946" t="s">
        <v>280</v>
      </c>
      <c r="CC946" t="s">
        <v>80</v>
      </c>
      <c r="CD946">
        <v>1614</v>
      </c>
      <c r="CE946" t="s">
        <v>191</v>
      </c>
      <c r="CF946" s="3">
        <v>45940</v>
      </c>
      <c r="CI946">
        <v>1</v>
      </c>
      <c r="CJ946">
        <v>1</v>
      </c>
      <c r="CK946">
        <v>22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"080068392833"</f>
        <v>080068392833</v>
      </c>
      <c r="F947" s="3">
        <v>45938</v>
      </c>
      <c r="G947">
        <v>202607</v>
      </c>
      <c r="H947" t="s">
        <v>79</v>
      </c>
      <c r="I947" t="s">
        <v>80</v>
      </c>
      <c r="J947" t="s">
        <v>91</v>
      </c>
      <c r="K947" t="s">
        <v>78</v>
      </c>
      <c r="L947" t="s">
        <v>92</v>
      </c>
      <c r="M947" t="s">
        <v>93</v>
      </c>
      <c r="N947" t="s">
        <v>1707</v>
      </c>
      <c r="O947" t="s">
        <v>82</v>
      </c>
      <c r="P947" t="str">
        <f>"4170063538                    "</f>
        <v xml:space="preserve">4170063538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39.11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3.4</v>
      </c>
      <c r="BK947">
        <v>3.5</v>
      </c>
      <c r="BL947">
        <v>124.13</v>
      </c>
      <c r="BM947">
        <v>18.62</v>
      </c>
      <c r="BN947">
        <v>142.75</v>
      </c>
      <c r="BO947">
        <v>142.75</v>
      </c>
      <c r="BQ947" t="s">
        <v>1708</v>
      </c>
      <c r="BR947" t="s">
        <v>97</v>
      </c>
      <c r="BS947" s="3">
        <v>45939</v>
      </c>
      <c r="BT947" s="4">
        <v>0.57638888888888884</v>
      </c>
      <c r="BU947" t="s">
        <v>1709</v>
      </c>
      <c r="BV947" t="s">
        <v>86</v>
      </c>
      <c r="BY947">
        <v>17136</v>
      </c>
      <c r="CA947" t="s">
        <v>100</v>
      </c>
      <c r="CC947" t="s">
        <v>93</v>
      </c>
      <c r="CD947">
        <v>3201</v>
      </c>
      <c r="CE947" t="s">
        <v>107</v>
      </c>
      <c r="CF947" s="3">
        <v>45940</v>
      </c>
      <c r="CI947">
        <v>5</v>
      </c>
      <c r="CJ947">
        <v>1</v>
      </c>
      <c r="CK947">
        <v>21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"080068393764"</f>
        <v>080068393764</v>
      </c>
      <c r="F948" s="3">
        <v>45938</v>
      </c>
      <c r="G948">
        <v>202607</v>
      </c>
      <c r="H948" t="s">
        <v>79</v>
      </c>
      <c r="I948" t="s">
        <v>80</v>
      </c>
      <c r="J948" t="s">
        <v>91</v>
      </c>
      <c r="K948" t="s">
        <v>78</v>
      </c>
      <c r="L948" t="s">
        <v>108</v>
      </c>
      <c r="M948" t="s">
        <v>109</v>
      </c>
      <c r="N948" t="s">
        <v>751</v>
      </c>
      <c r="O948" t="s">
        <v>82</v>
      </c>
      <c r="P948" t="str">
        <f>"4170063569                    "</f>
        <v xml:space="preserve">4170063569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22.36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70.959999999999994</v>
      </c>
      <c r="BM948">
        <v>10.64</v>
      </c>
      <c r="BN948">
        <v>81.599999999999994</v>
      </c>
      <c r="BO948">
        <v>81.599999999999994</v>
      </c>
      <c r="BQ948" t="s">
        <v>752</v>
      </c>
      <c r="BR948" t="s">
        <v>97</v>
      </c>
      <c r="BS948" s="3">
        <v>45939</v>
      </c>
      <c r="BT948" s="4">
        <v>0.35138888888888886</v>
      </c>
      <c r="BU948" t="s">
        <v>1710</v>
      </c>
      <c r="BV948" t="s">
        <v>86</v>
      </c>
      <c r="BY948">
        <v>1200</v>
      </c>
      <c r="CA948" t="s">
        <v>1090</v>
      </c>
      <c r="CC948" t="s">
        <v>109</v>
      </c>
      <c r="CD948">
        <v>6001</v>
      </c>
      <c r="CE948" t="s">
        <v>147</v>
      </c>
      <c r="CF948" s="3">
        <v>45939</v>
      </c>
      <c r="CI948">
        <v>1</v>
      </c>
      <c r="CJ948">
        <v>1</v>
      </c>
      <c r="CK948">
        <v>21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"080068393766"</f>
        <v>080068393766</v>
      </c>
      <c r="F949" s="3">
        <v>45938</v>
      </c>
      <c r="G949">
        <v>202607</v>
      </c>
      <c r="H949" t="s">
        <v>79</v>
      </c>
      <c r="I949" t="s">
        <v>80</v>
      </c>
      <c r="J949" t="s">
        <v>91</v>
      </c>
      <c r="K949" t="s">
        <v>78</v>
      </c>
      <c r="L949" t="s">
        <v>148</v>
      </c>
      <c r="M949" t="s">
        <v>149</v>
      </c>
      <c r="N949" t="s">
        <v>1711</v>
      </c>
      <c r="O949" t="s">
        <v>82</v>
      </c>
      <c r="P949" t="str">
        <f>"4170063572                    "</f>
        <v xml:space="preserve">4170063572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17.46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1.9</v>
      </c>
      <c r="BK949">
        <v>2</v>
      </c>
      <c r="BL949">
        <v>55.42</v>
      </c>
      <c r="BM949">
        <v>8.31</v>
      </c>
      <c r="BN949">
        <v>63.73</v>
      </c>
      <c r="BO949">
        <v>63.73</v>
      </c>
      <c r="BQ949" t="s">
        <v>1712</v>
      </c>
      <c r="BR949" t="s">
        <v>97</v>
      </c>
      <c r="BS949" s="3">
        <v>45939</v>
      </c>
      <c r="BT949" s="4">
        <v>0.39583333333333331</v>
      </c>
      <c r="BU949" t="s">
        <v>434</v>
      </c>
      <c r="BV949" t="s">
        <v>86</v>
      </c>
      <c r="BY949">
        <v>9600</v>
      </c>
      <c r="CA949" t="s">
        <v>1713</v>
      </c>
      <c r="CC949" t="s">
        <v>149</v>
      </c>
      <c r="CD949">
        <v>2128</v>
      </c>
      <c r="CE949" t="s">
        <v>191</v>
      </c>
      <c r="CF949" s="3">
        <v>45939</v>
      </c>
      <c r="CI949">
        <v>1</v>
      </c>
      <c r="CJ949">
        <v>1</v>
      </c>
      <c r="CK949">
        <v>22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"080068393827"</f>
        <v>080068393827</v>
      </c>
      <c r="F950" s="3">
        <v>45938</v>
      </c>
      <c r="G950">
        <v>202607</v>
      </c>
      <c r="H950" t="s">
        <v>79</v>
      </c>
      <c r="I950" t="s">
        <v>80</v>
      </c>
      <c r="J950" t="s">
        <v>91</v>
      </c>
      <c r="K950" t="s">
        <v>78</v>
      </c>
      <c r="L950" t="s">
        <v>271</v>
      </c>
      <c r="M950" t="s">
        <v>272</v>
      </c>
      <c r="N950" t="s">
        <v>1714</v>
      </c>
      <c r="O950" t="s">
        <v>82</v>
      </c>
      <c r="P950" t="str">
        <f>"4170063542                    "</f>
        <v xml:space="preserve">4170063542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17.46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1.1000000000000001</v>
      </c>
      <c r="BK950">
        <v>2</v>
      </c>
      <c r="BL950">
        <v>55.42</v>
      </c>
      <c r="BM950">
        <v>8.31</v>
      </c>
      <c r="BN950">
        <v>63.73</v>
      </c>
      <c r="BO950">
        <v>63.73</v>
      </c>
      <c r="BQ950" t="s">
        <v>1715</v>
      </c>
      <c r="BR950" t="s">
        <v>97</v>
      </c>
      <c r="BS950" s="3">
        <v>45939</v>
      </c>
      <c r="BT950" s="4">
        <v>0.40555555555555556</v>
      </c>
      <c r="BU950" t="s">
        <v>1716</v>
      </c>
      <c r="BV950" t="s">
        <v>86</v>
      </c>
      <c r="BY950">
        <v>5510</v>
      </c>
      <c r="CA950" t="s">
        <v>280</v>
      </c>
      <c r="CC950" t="s">
        <v>272</v>
      </c>
      <c r="CD950">
        <v>1406</v>
      </c>
      <c r="CE950" t="s">
        <v>191</v>
      </c>
      <c r="CF950" s="3">
        <v>45940</v>
      </c>
      <c r="CI950">
        <v>1</v>
      </c>
      <c r="CJ950">
        <v>1</v>
      </c>
      <c r="CK950">
        <v>22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"080068393831"</f>
        <v>080068393831</v>
      </c>
      <c r="F951" s="3">
        <v>45938</v>
      </c>
      <c r="G951">
        <v>202607</v>
      </c>
      <c r="H951" t="s">
        <v>79</v>
      </c>
      <c r="I951" t="s">
        <v>80</v>
      </c>
      <c r="J951" t="s">
        <v>91</v>
      </c>
      <c r="K951" t="s">
        <v>78</v>
      </c>
      <c r="L951" t="s">
        <v>168</v>
      </c>
      <c r="M951" t="s">
        <v>169</v>
      </c>
      <c r="N951" t="s">
        <v>297</v>
      </c>
      <c r="O951" t="s">
        <v>82</v>
      </c>
      <c r="P951" t="str">
        <f>"4170063500                    "</f>
        <v xml:space="preserve">4170063500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22.36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70.959999999999994</v>
      </c>
      <c r="BM951">
        <v>10.64</v>
      </c>
      <c r="BN951">
        <v>81.599999999999994</v>
      </c>
      <c r="BO951">
        <v>81.599999999999994</v>
      </c>
      <c r="BQ951" t="s">
        <v>298</v>
      </c>
      <c r="BR951" t="s">
        <v>97</v>
      </c>
      <c r="BS951" s="3">
        <v>45939</v>
      </c>
      <c r="BT951" s="4">
        <v>0.45</v>
      </c>
      <c r="BU951" t="s">
        <v>1391</v>
      </c>
      <c r="BV951" t="s">
        <v>90</v>
      </c>
      <c r="BW951" t="s">
        <v>188</v>
      </c>
      <c r="BX951" t="s">
        <v>1152</v>
      </c>
      <c r="BY951">
        <v>1200</v>
      </c>
      <c r="CA951">
        <v>8303236124087</v>
      </c>
      <c r="CC951" t="s">
        <v>169</v>
      </c>
      <c r="CD951" s="5" t="s">
        <v>190</v>
      </c>
      <c r="CE951" t="s">
        <v>147</v>
      </c>
      <c r="CF951" s="3">
        <v>45939</v>
      </c>
      <c r="CI951">
        <v>1</v>
      </c>
      <c r="CJ951">
        <v>1</v>
      </c>
      <c r="CK951">
        <v>21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"080068393853"</f>
        <v>080068393853</v>
      </c>
      <c r="F952" s="3">
        <v>45938</v>
      </c>
      <c r="G952">
        <v>202607</v>
      </c>
      <c r="H952" t="s">
        <v>79</v>
      </c>
      <c r="I952" t="s">
        <v>80</v>
      </c>
      <c r="J952" t="s">
        <v>91</v>
      </c>
      <c r="K952" t="s">
        <v>78</v>
      </c>
      <c r="L952" t="s">
        <v>108</v>
      </c>
      <c r="M952" t="s">
        <v>109</v>
      </c>
      <c r="N952" t="s">
        <v>1239</v>
      </c>
      <c r="O952" t="s">
        <v>82</v>
      </c>
      <c r="P952" t="str">
        <f>"4170063361                    "</f>
        <v xml:space="preserve">4170063361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22.36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</v>
      </c>
      <c r="BJ952">
        <v>1.7</v>
      </c>
      <c r="BK952">
        <v>2</v>
      </c>
      <c r="BL952">
        <v>70.959999999999994</v>
      </c>
      <c r="BM952">
        <v>10.64</v>
      </c>
      <c r="BN952">
        <v>81.599999999999994</v>
      </c>
      <c r="BO952">
        <v>81.599999999999994</v>
      </c>
      <c r="BQ952" t="s">
        <v>1240</v>
      </c>
      <c r="BR952" t="s">
        <v>97</v>
      </c>
      <c r="BS952" s="3">
        <v>45939</v>
      </c>
      <c r="BT952" s="4">
        <v>0.41666666666666669</v>
      </c>
      <c r="BU952" t="s">
        <v>1717</v>
      </c>
      <c r="BV952" t="s">
        <v>86</v>
      </c>
      <c r="BY952">
        <v>8550</v>
      </c>
      <c r="CA952" t="s">
        <v>1137</v>
      </c>
      <c r="CC952" t="s">
        <v>109</v>
      </c>
      <c r="CD952">
        <v>6001</v>
      </c>
      <c r="CE952" t="s">
        <v>191</v>
      </c>
      <c r="CF952" s="3">
        <v>45940</v>
      </c>
      <c r="CI952">
        <v>1</v>
      </c>
      <c r="CJ952">
        <v>1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"080068393858"</f>
        <v>080068393858</v>
      </c>
      <c r="F953" s="3">
        <v>45938</v>
      </c>
      <c r="G953">
        <v>202607</v>
      </c>
      <c r="H953" t="s">
        <v>79</v>
      </c>
      <c r="I953" t="s">
        <v>80</v>
      </c>
      <c r="J953" t="s">
        <v>91</v>
      </c>
      <c r="K953" t="s">
        <v>78</v>
      </c>
      <c r="L953" t="s">
        <v>1008</v>
      </c>
      <c r="M953" t="s">
        <v>1009</v>
      </c>
      <c r="N953" t="s">
        <v>1010</v>
      </c>
      <c r="O953" t="s">
        <v>82</v>
      </c>
      <c r="P953" t="str">
        <f>"4170063586                    "</f>
        <v xml:space="preserve">4170063586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31.44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99.79</v>
      </c>
      <c r="BM953">
        <v>14.97</v>
      </c>
      <c r="BN953">
        <v>114.76</v>
      </c>
      <c r="BO953">
        <v>114.76</v>
      </c>
      <c r="BQ953" t="s">
        <v>1011</v>
      </c>
      <c r="BR953" t="s">
        <v>97</v>
      </c>
      <c r="BS953" s="3">
        <v>45939</v>
      </c>
      <c r="BT953" s="4">
        <v>0.47152777777777777</v>
      </c>
      <c r="BU953" t="s">
        <v>1718</v>
      </c>
      <c r="BV953" t="s">
        <v>86</v>
      </c>
      <c r="BY953">
        <v>1200</v>
      </c>
      <c r="CA953" t="s">
        <v>1347</v>
      </c>
      <c r="CC953" t="s">
        <v>1009</v>
      </c>
      <c r="CD953">
        <v>1759</v>
      </c>
      <c r="CE953" t="s">
        <v>147</v>
      </c>
      <c r="CF953" s="3">
        <v>45944</v>
      </c>
      <c r="CI953">
        <v>1</v>
      </c>
      <c r="CJ953">
        <v>1</v>
      </c>
      <c r="CK953">
        <v>24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"080068393871"</f>
        <v>080068393871</v>
      </c>
      <c r="F954" s="3">
        <v>45938</v>
      </c>
      <c r="G954">
        <v>202607</v>
      </c>
      <c r="H954" t="s">
        <v>79</v>
      </c>
      <c r="I954" t="s">
        <v>80</v>
      </c>
      <c r="J954" t="s">
        <v>91</v>
      </c>
      <c r="K954" t="s">
        <v>78</v>
      </c>
      <c r="L954" t="s">
        <v>108</v>
      </c>
      <c r="M954" t="s">
        <v>109</v>
      </c>
      <c r="N954" t="s">
        <v>956</v>
      </c>
      <c r="O954" t="s">
        <v>82</v>
      </c>
      <c r="P954" t="str">
        <f>"4170063582                    "</f>
        <v xml:space="preserve">4170063582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22.36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2</v>
      </c>
      <c r="BJ954">
        <v>1.1000000000000001</v>
      </c>
      <c r="BK954">
        <v>2</v>
      </c>
      <c r="BL954">
        <v>70.959999999999994</v>
      </c>
      <c r="BM954">
        <v>10.64</v>
      </c>
      <c r="BN954">
        <v>81.599999999999994</v>
      </c>
      <c r="BO954">
        <v>81.599999999999994</v>
      </c>
      <c r="BQ954" t="s">
        <v>957</v>
      </c>
      <c r="BR954" t="s">
        <v>97</v>
      </c>
      <c r="BS954" s="3">
        <v>45939</v>
      </c>
      <c r="BT954" s="4">
        <v>0.36666666666666664</v>
      </c>
      <c r="BU954" t="s">
        <v>1144</v>
      </c>
      <c r="BV954" t="s">
        <v>86</v>
      </c>
      <c r="BY954">
        <v>5320</v>
      </c>
      <c r="CA954" t="s">
        <v>1145</v>
      </c>
      <c r="CC954" t="s">
        <v>109</v>
      </c>
      <c r="CD954">
        <v>6001</v>
      </c>
      <c r="CE954" t="s">
        <v>191</v>
      </c>
      <c r="CF954" s="3">
        <v>45939</v>
      </c>
      <c r="CI954">
        <v>1</v>
      </c>
      <c r="CJ954">
        <v>1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"080068393909"</f>
        <v>080068393909</v>
      </c>
      <c r="F955" s="3">
        <v>45938</v>
      </c>
      <c r="G955">
        <v>202607</v>
      </c>
      <c r="H955" t="s">
        <v>79</v>
      </c>
      <c r="I955" t="s">
        <v>80</v>
      </c>
      <c r="J955" t="s">
        <v>91</v>
      </c>
      <c r="K955" t="s">
        <v>78</v>
      </c>
      <c r="L955" t="s">
        <v>79</v>
      </c>
      <c r="M955" t="s">
        <v>80</v>
      </c>
      <c r="N955" t="s">
        <v>1719</v>
      </c>
      <c r="O955" t="s">
        <v>82</v>
      </c>
      <c r="P955" t="str">
        <f>"4170063605                    "</f>
        <v xml:space="preserve">4170063605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17.46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2</v>
      </c>
      <c r="BJ955">
        <v>1.9</v>
      </c>
      <c r="BK955">
        <v>2</v>
      </c>
      <c r="BL955">
        <v>55.42</v>
      </c>
      <c r="BM955">
        <v>8.31</v>
      </c>
      <c r="BN955">
        <v>63.73</v>
      </c>
      <c r="BO955">
        <v>63.73</v>
      </c>
      <c r="BQ955" t="s">
        <v>1720</v>
      </c>
      <c r="BR955" t="s">
        <v>97</v>
      </c>
      <c r="BS955" s="3">
        <v>45940</v>
      </c>
      <c r="BT955" s="4">
        <v>0.44374999999999998</v>
      </c>
      <c r="BU955" t="s">
        <v>1721</v>
      </c>
      <c r="BV955" t="s">
        <v>90</v>
      </c>
      <c r="BW955" t="s">
        <v>771</v>
      </c>
      <c r="BX955" t="s">
        <v>903</v>
      </c>
      <c r="BY955">
        <v>9600</v>
      </c>
      <c r="CC955" t="s">
        <v>80</v>
      </c>
      <c r="CD955">
        <v>1685</v>
      </c>
      <c r="CE955" t="s">
        <v>191</v>
      </c>
      <c r="CF955" s="3">
        <v>45941</v>
      </c>
      <c r="CI955">
        <v>1</v>
      </c>
      <c r="CJ955">
        <v>2</v>
      </c>
      <c r="CK955">
        <v>22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"080068393924"</f>
        <v>080068393924</v>
      </c>
      <c r="F956" s="3">
        <v>45938</v>
      </c>
      <c r="G956">
        <v>202607</v>
      </c>
      <c r="H956" t="s">
        <v>79</v>
      </c>
      <c r="I956" t="s">
        <v>80</v>
      </c>
      <c r="J956" t="s">
        <v>91</v>
      </c>
      <c r="K956" t="s">
        <v>78</v>
      </c>
      <c r="L956" t="s">
        <v>114</v>
      </c>
      <c r="M956" t="s">
        <v>115</v>
      </c>
      <c r="N956" t="s">
        <v>881</v>
      </c>
      <c r="O956" t="s">
        <v>82</v>
      </c>
      <c r="P956" t="str">
        <f>"4170063563                    "</f>
        <v xml:space="preserve">4170063563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44.69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4</v>
      </c>
      <c r="BJ956">
        <v>1.1000000000000001</v>
      </c>
      <c r="BK956">
        <v>4</v>
      </c>
      <c r="BL956">
        <v>141.85</v>
      </c>
      <c r="BM956">
        <v>21.28</v>
      </c>
      <c r="BN956">
        <v>163.13</v>
      </c>
      <c r="BO956">
        <v>163.13</v>
      </c>
      <c r="BQ956" t="s">
        <v>882</v>
      </c>
      <c r="BR956" t="s">
        <v>97</v>
      </c>
      <c r="BS956" s="3">
        <v>45939</v>
      </c>
      <c r="BT956" s="4">
        <v>0.49861111111111112</v>
      </c>
      <c r="BU956" t="s">
        <v>1293</v>
      </c>
      <c r="BV956" t="s">
        <v>90</v>
      </c>
      <c r="BY956">
        <v>5510</v>
      </c>
      <c r="CA956" t="s">
        <v>749</v>
      </c>
      <c r="CC956" t="s">
        <v>115</v>
      </c>
      <c r="CD956">
        <v>5201</v>
      </c>
      <c r="CE956" t="s">
        <v>191</v>
      </c>
      <c r="CF956" s="3">
        <v>45940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"080068393928"</f>
        <v>080068393928</v>
      </c>
      <c r="F957" s="3">
        <v>45938</v>
      </c>
      <c r="G957">
        <v>202607</v>
      </c>
      <c r="H957" t="s">
        <v>79</v>
      </c>
      <c r="I957" t="s">
        <v>80</v>
      </c>
      <c r="J957" t="s">
        <v>91</v>
      </c>
      <c r="K957" t="s">
        <v>78</v>
      </c>
      <c r="L957" t="s">
        <v>206</v>
      </c>
      <c r="M957" t="s">
        <v>207</v>
      </c>
      <c r="N957" t="s">
        <v>656</v>
      </c>
      <c r="O957" t="s">
        <v>82</v>
      </c>
      <c r="P957" t="str">
        <f>"4170063554                    "</f>
        <v xml:space="preserve">4170063554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22.36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70.959999999999994</v>
      </c>
      <c r="BM957">
        <v>10.64</v>
      </c>
      <c r="BN957">
        <v>81.599999999999994</v>
      </c>
      <c r="BO957">
        <v>81.599999999999994</v>
      </c>
      <c r="BQ957" t="s">
        <v>657</v>
      </c>
      <c r="BR957" t="s">
        <v>97</v>
      </c>
      <c r="BS957" s="3">
        <v>45939</v>
      </c>
      <c r="BT957" s="4">
        <v>0.39930555555555558</v>
      </c>
      <c r="BU957" t="s">
        <v>658</v>
      </c>
      <c r="BV957" t="s">
        <v>86</v>
      </c>
      <c r="BY957">
        <v>1200</v>
      </c>
      <c r="CA957" t="s">
        <v>211</v>
      </c>
      <c r="CC957" t="s">
        <v>207</v>
      </c>
      <c r="CD957">
        <v>7441</v>
      </c>
      <c r="CE957" t="s">
        <v>147</v>
      </c>
      <c r="CF957" s="3">
        <v>45940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"080068394257"</f>
        <v>080068394257</v>
      </c>
      <c r="F958" s="3">
        <v>45938</v>
      </c>
      <c r="G958">
        <v>202607</v>
      </c>
      <c r="H958" t="s">
        <v>79</v>
      </c>
      <c r="I958" t="s">
        <v>80</v>
      </c>
      <c r="J958" t="s">
        <v>91</v>
      </c>
      <c r="K958" t="s">
        <v>78</v>
      </c>
      <c r="L958" t="s">
        <v>985</v>
      </c>
      <c r="M958" t="s">
        <v>986</v>
      </c>
      <c r="N958" t="s">
        <v>1409</v>
      </c>
      <c r="O958" t="s">
        <v>82</v>
      </c>
      <c r="P958" t="str">
        <f>"4170063462                    "</f>
        <v xml:space="preserve">4170063462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22.36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0.9</v>
      </c>
      <c r="BK958">
        <v>1</v>
      </c>
      <c r="BL958">
        <v>70.959999999999994</v>
      </c>
      <c r="BM958">
        <v>10.64</v>
      </c>
      <c r="BN958">
        <v>81.599999999999994</v>
      </c>
      <c r="BO958">
        <v>81.599999999999994</v>
      </c>
      <c r="BQ958" t="s">
        <v>1410</v>
      </c>
      <c r="BR958" t="s">
        <v>97</v>
      </c>
      <c r="BS958" s="3">
        <v>45939</v>
      </c>
      <c r="BT958" s="4">
        <v>0.41666666666666669</v>
      </c>
      <c r="BU958" t="s">
        <v>1722</v>
      </c>
      <c r="BV958" t="s">
        <v>86</v>
      </c>
      <c r="BY958">
        <v>4275</v>
      </c>
      <c r="CA958" t="s">
        <v>146</v>
      </c>
      <c r="CC958" t="s">
        <v>986</v>
      </c>
      <c r="CD958">
        <v>7600</v>
      </c>
      <c r="CE958" t="s">
        <v>191</v>
      </c>
      <c r="CF958" s="3">
        <v>45940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"080068394809"</f>
        <v>080068394809</v>
      </c>
      <c r="F959" s="3">
        <v>45938</v>
      </c>
      <c r="G959">
        <v>202607</v>
      </c>
      <c r="H959" t="s">
        <v>79</v>
      </c>
      <c r="I959" t="s">
        <v>80</v>
      </c>
      <c r="J959" t="s">
        <v>91</v>
      </c>
      <c r="K959" t="s">
        <v>78</v>
      </c>
      <c r="L959" t="s">
        <v>108</v>
      </c>
      <c r="M959" t="s">
        <v>109</v>
      </c>
      <c r="N959" t="s">
        <v>842</v>
      </c>
      <c r="O959" t="s">
        <v>82</v>
      </c>
      <c r="P959" t="str">
        <f>"4170063581                    "</f>
        <v xml:space="preserve">4170063581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39.11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3.2</v>
      </c>
      <c r="BK959">
        <v>3.5</v>
      </c>
      <c r="BL959">
        <v>124.13</v>
      </c>
      <c r="BM959">
        <v>18.62</v>
      </c>
      <c r="BN959">
        <v>142.75</v>
      </c>
      <c r="BO959">
        <v>142.75</v>
      </c>
      <c r="BQ959" t="s">
        <v>843</v>
      </c>
      <c r="BR959" t="s">
        <v>97</v>
      </c>
      <c r="BS959" s="3">
        <v>45939</v>
      </c>
      <c r="BT959" s="4">
        <v>0.40694444444444444</v>
      </c>
      <c r="BU959" t="s">
        <v>1617</v>
      </c>
      <c r="BV959" t="s">
        <v>86</v>
      </c>
      <c r="BY959">
        <v>15872</v>
      </c>
      <c r="CA959" t="s">
        <v>1090</v>
      </c>
      <c r="CC959" t="s">
        <v>109</v>
      </c>
      <c r="CD959">
        <v>6012</v>
      </c>
      <c r="CE959" t="s">
        <v>107</v>
      </c>
      <c r="CF959" s="3">
        <v>45939</v>
      </c>
      <c r="CI959">
        <v>1</v>
      </c>
      <c r="CJ959">
        <v>1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"080068394862"</f>
        <v>080068394862</v>
      </c>
      <c r="F960" s="3">
        <v>45938</v>
      </c>
      <c r="G960">
        <v>202607</v>
      </c>
      <c r="H960" t="s">
        <v>79</v>
      </c>
      <c r="I960" t="s">
        <v>80</v>
      </c>
      <c r="J960" t="s">
        <v>91</v>
      </c>
      <c r="K960" t="s">
        <v>78</v>
      </c>
      <c r="L960" t="s">
        <v>108</v>
      </c>
      <c r="M960" t="s">
        <v>109</v>
      </c>
      <c r="N960" t="s">
        <v>842</v>
      </c>
      <c r="O960" t="s">
        <v>82</v>
      </c>
      <c r="P960" t="str">
        <f>"4170063473                    "</f>
        <v xml:space="preserve">4170063473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22.36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1.8</v>
      </c>
      <c r="BK960">
        <v>2</v>
      </c>
      <c r="BL960">
        <v>70.959999999999994</v>
      </c>
      <c r="BM960">
        <v>10.64</v>
      </c>
      <c r="BN960">
        <v>81.599999999999994</v>
      </c>
      <c r="BO960">
        <v>81.599999999999994</v>
      </c>
      <c r="BQ960" t="s">
        <v>843</v>
      </c>
      <c r="BR960" t="s">
        <v>97</v>
      </c>
      <c r="BS960" s="3">
        <v>45939</v>
      </c>
      <c r="BT960" s="4">
        <v>0.40763888888888888</v>
      </c>
      <c r="BU960" t="s">
        <v>1617</v>
      </c>
      <c r="BV960" t="s">
        <v>86</v>
      </c>
      <c r="BY960">
        <v>8816</v>
      </c>
      <c r="CA960" t="s">
        <v>1090</v>
      </c>
      <c r="CC960" t="s">
        <v>109</v>
      </c>
      <c r="CD960">
        <v>6012</v>
      </c>
      <c r="CE960" t="s">
        <v>191</v>
      </c>
      <c r="CF960" s="3">
        <v>45939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"080068394911"</f>
        <v>080068394911</v>
      </c>
      <c r="F961" s="3">
        <v>45938</v>
      </c>
      <c r="G961">
        <v>202607</v>
      </c>
      <c r="H961" t="s">
        <v>79</v>
      </c>
      <c r="I961" t="s">
        <v>80</v>
      </c>
      <c r="J961" t="s">
        <v>91</v>
      </c>
      <c r="K961" t="s">
        <v>78</v>
      </c>
      <c r="L961" t="s">
        <v>168</v>
      </c>
      <c r="M961" t="s">
        <v>169</v>
      </c>
      <c r="N961" t="s">
        <v>873</v>
      </c>
      <c r="O961" t="s">
        <v>95</v>
      </c>
      <c r="P961" t="str">
        <f>"4170063425                    "</f>
        <v xml:space="preserve">4170063425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43.23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5</v>
      </c>
      <c r="BJ961">
        <v>3.4</v>
      </c>
      <c r="BK961">
        <v>5</v>
      </c>
      <c r="BL961">
        <v>143.08000000000001</v>
      </c>
      <c r="BM961">
        <v>21.46</v>
      </c>
      <c r="BN961">
        <v>164.54</v>
      </c>
      <c r="BO961">
        <v>164.54</v>
      </c>
      <c r="BQ961" t="s">
        <v>874</v>
      </c>
      <c r="BR961" t="s">
        <v>97</v>
      </c>
      <c r="BS961" s="3">
        <v>45943</v>
      </c>
      <c r="BT961" s="4">
        <v>0.65208333333333335</v>
      </c>
      <c r="BU961" t="s">
        <v>1723</v>
      </c>
      <c r="BV961" t="s">
        <v>90</v>
      </c>
      <c r="BW961" t="s">
        <v>188</v>
      </c>
      <c r="BX961" t="s">
        <v>189</v>
      </c>
      <c r="BY961">
        <v>16965</v>
      </c>
      <c r="CC961" t="s">
        <v>169</v>
      </c>
      <c r="CD961" s="5" t="s">
        <v>877</v>
      </c>
      <c r="CE961" t="s">
        <v>191</v>
      </c>
      <c r="CF961" s="3">
        <v>45943</v>
      </c>
      <c r="CI961">
        <v>1</v>
      </c>
      <c r="CJ961">
        <v>3</v>
      </c>
      <c r="CK961">
        <v>41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"080068394938"</f>
        <v>080068394938</v>
      </c>
      <c r="F962" s="3">
        <v>45938</v>
      </c>
      <c r="G962">
        <v>202607</v>
      </c>
      <c r="H962" t="s">
        <v>79</v>
      </c>
      <c r="I962" t="s">
        <v>80</v>
      </c>
      <c r="J962" t="s">
        <v>91</v>
      </c>
      <c r="K962" t="s">
        <v>78</v>
      </c>
      <c r="L962" t="s">
        <v>1008</v>
      </c>
      <c r="M962" t="s">
        <v>1009</v>
      </c>
      <c r="N962" t="s">
        <v>1010</v>
      </c>
      <c r="O962" t="s">
        <v>82</v>
      </c>
      <c r="P962" t="str">
        <f>"4170063585                    "</f>
        <v xml:space="preserve">4170063585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31.44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99.79</v>
      </c>
      <c r="BM962">
        <v>14.97</v>
      </c>
      <c r="BN962">
        <v>114.76</v>
      </c>
      <c r="BO962">
        <v>114.76</v>
      </c>
      <c r="BQ962" t="s">
        <v>1011</v>
      </c>
      <c r="BR962" t="s">
        <v>97</v>
      </c>
      <c r="BS962" s="3">
        <v>45939</v>
      </c>
      <c r="BT962" s="4">
        <v>0.46527777777777779</v>
      </c>
      <c r="BU962" t="s">
        <v>1718</v>
      </c>
      <c r="BV962" t="s">
        <v>86</v>
      </c>
      <c r="BY962">
        <v>1200</v>
      </c>
      <c r="CA962" t="s">
        <v>1347</v>
      </c>
      <c r="CC962" t="s">
        <v>1009</v>
      </c>
      <c r="CD962">
        <v>1759</v>
      </c>
      <c r="CE962" t="s">
        <v>147</v>
      </c>
      <c r="CF962" s="3">
        <v>45939</v>
      </c>
      <c r="CI962">
        <v>1</v>
      </c>
      <c r="CJ962">
        <v>1</v>
      </c>
      <c r="CK962">
        <v>24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"080068394969"</f>
        <v>080068394969</v>
      </c>
      <c r="F963" s="3">
        <v>45938</v>
      </c>
      <c r="G963">
        <v>202607</v>
      </c>
      <c r="H963" t="s">
        <v>79</v>
      </c>
      <c r="I963" t="s">
        <v>80</v>
      </c>
      <c r="J963" t="s">
        <v>91</v>
      </c>
      <c r="K963" t="s">
        <v>78</v>
      </c>
      <c r="L963" t="s">
        <v>333</v>
      </c>
      <c r="M963" t="s">
        <v>334</v>
      </c>
      <c r="N963" t="s">
        <v>794</v>
      </c>
      <c r="O963" t="s">
        <v>82</v>
      </c>
      <c r="P963" t="str">
        <f>"4170062690                    "</f>
        <v xml:space="preserve">4170062690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22.36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70.959999999999994</v>
      </c>
      <c r="BM963">
        <v>10.64</v>
      </c>
      <c r="BN963">
        <v>81.599999999999994</v>
      </c>
      <c r="BO963">
        <v>81.599999999999994</v>
      </c>
      <c r="BQ963" t="s">
        <v>795</v>
      </c>
      <c r="BR963" t="s">
        <v>97</v>
      </c>
      <c r="BS963" s="3">
        <v>45939</v>
      </c>
      <c r="BT963" s="4">
        <v>0.41458333333333336</v>
      </c>
      <c r="BU963" t="s">
        <v>796</v>
      </c>
      <c r="BV963" t="s">
        <v>86</v>
      </c>
      <c r="BY963">
        <v>1200</v>
      </c>
      <c r="CA963" t="s">
        <v>142</v>
      </c>
      <c r="CC963" t="s">
        <v>334</v>
      </c>
      <c r="CD963">
        <v>6220</v>
      </c>
      <c r="CE963" t="s">
        <v>147</v>
      </c>
      <c r="CF963" s="3">
        <v>45939</v>
      </c>
      <c r="CI963">
        <v>1</v>
      </c>
      <c r="CJ963">
        <v>1</v>
      </c>
      <c r="CK963">
        <v>21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"080068394997"</f>
        <v>080068394997</v>
      </c>
      <c r="F964" s="3">
        <v>45938</v>
      </c>
      <c r="G964">
        <v>202607</v>
      </c>
      <c r="H964" t="s">
        <v>79</v>
      </c>
      <c r="I964" t="s">
        <v>80</v>
      </c>
      <c r="J964" t="s">
        <v>91</v>
      </c>
      <c r="K964" t="s">
        <v>78</v>
      </c>
      <c r="L964" t="s">
        <v>469</v>
      </c>
      <c r="M964" t="s">
        <v>470</v>
      </c>
      <c r="N964" t="s">
        <v>471</v>
      </c>
      <c r="O964" t="s">
        <v>82</v>
      </c>
      <c r="P964" t="str">
        <f>"4170063567                    "</f>
        <v xml:space="preserve">4170063567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43.31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137.47</v>
      </c>
      <c r="BM964">
        <v>20.62</v>
      </c>
      <c r="BN964">
        <v>158.09</v>
      </c>
      <c r="BO964">
        <v>158.09</v>
      </c>
      <c r="BQ964" t="s">
        <v>1724</v>
      </c>
      <c r="BR964" t="s">
        <v>97</v>
      </c>
      <c r="BS964" s="3">
        <v>45939</v>
      </c>
      <c r="BT964" s="4">
        <v>0.49166666666666664</v>
      </c>
      <c r="BU964" t="s">
        <v>1724</v>
      </c>
      <c r="BV964" t="s">
        <v>86</v>
      </c>
      <c r="BY964">
        <v>1200</v>
      </c>
      <c r="CA964" t="s">
        <v>1725</v>
      </c>
      <c r="CC964" t="s">
        <v>470</v>
      </c>
      <c r="CD964">
        <v>7300</v>
      </c>
      <c r="CE964" t="s">
        <v>147</v>
      </c>
      <c r="CF964" s="3">
        <v>45940</v>
      </c>
      <c r="CI964">
        <v>1</v>
      </c>
      <c r="CJ964">
        <v>1</v>
      </c>
      <c r="CK964">
        <v>23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"080068395017"</f>
        <v>080068395017</v>
      </c>
      <c r="F965" s="3">
        <v>45938</v>
      </c>
      <c r="G965">
        <v>202607</v>
      </c>
      <c r="H965" t="s">
        <v>79</v>
      </c>
      <c r="I965" t="s">
        <v>80</v>
      </c>
      <c r="J965" t="s">
        <v>91</v>
      </c>
      <c r="K965" t="s">
        <v>78</v>
      </c>
      <c r="L965" t="s">
        <v>108</v>
      </c>
      <c r="M965" t="s">
        <v>109</v>
      </c>
      <c r="N965" t="s">
        <v>515</v>
      </c>
      <c r="O965" t="s">
        <v>82</v>
      </c>
      <c r="P965" t="str">
        <f>"4170063540                    "</f>
        <v xml:space="preserve">4170063540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22.36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70.959999999999994</v>
      </c>
      <c r="BM965">
        <v>10.64</v>
      </c>
      <c r="BN965">
        <v>81.599999999999994</v>
      </c>
      <c r="BO965">
        <v>81.599999999999994</v>
      </c>
      <c r="BQ965" t="s">
        <v>516</v>
      </c>
      <c r="BR965" t="s">
        <v>97</v>
      </c>
      <c r="BS965" s="3">
        <v>45939</v>
      </c>
      <c r="BT965" s="4">
        <v>0.4375</v>
      </c>
      <c r="BU965" t="s">
        <v>1289</v>
      </c>
      <c r="BV965" t="s">
        <v>86</v>
      </c>
      <c r="BY965">
        <v>1200</v>
      </c>
      <c r="CA965" t="s">
        <v>1137</v>
      </c>
      <c r="CC965" t="s">
        <v>109</v>
      </c>
      <c r="CD965">
        <v>6001</v>
      </c>
      <c r="CE965" t="s">
        <v>147</v>
      </c>
      <c r="CF965" s="3">
        <v>45939</v>
      </c>
      <c r="CI965">
        <v>1</v>
      </c>
      <c r="CJ965">
        <v>1</v>
      </c>
      <c r="CK965">
        <v>21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"080068395045"</f>
        <v>080068395045</v>
      </c>
      <c r="F966" s="3">
        <v>45938</v>
      </c>
      <c r="G966">
        <v>202607</v>
      </c>
      <c r="H966" t="s">
        <v>79</v>
      </c>
      <c r="I966" t="s">
        <v>80</v>
      </c>
      <c r="J966" t="s">
        <v>91</v>
      </c>
      <c r="K966" t="s">
        <v>78</v>
      </c>
      <c r="L966" t="s">
        <v>884</v>
      </c>
      <c r="M966" t="s">
        <v>885</v>
      </c>
      <c r="N966" t="s">
        <v>886</v>
      </c>
      <c r="O966" t="s">
        <v>82</v>
      </c>
      <c r="P966" t="str">
        <f>"4170063520                    "</f>
        <v xml:space="preserve">4170063520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82.43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4</v>
      </c>
      <c r="BJ966">
        <v>1.6</v>
      </c>
      <c r="BK966">
        <v>4</v>
      </c>
      <c r="BL966">
        <v>261.63</v>
      </c>
      <c r="BM966">
        <v>39.24</v>
      </c>
      <c r="BN966">
        <v>300.87</v>
      </c>
      <c r="BO966">
        <v>300.87</v>
      </c>
      <c r="BQ966" t="s">
        <v>887</v>
      </c>
      <c r="BR966" t="s">
        <v>97</v>
      </c>
      <c r="BS966" s="3">
        <v>45939</v>
      </c>
      <c r="BT966" s="4">
        <v>0.33333333333333331</v>
      </c>
      <c r="BU966" t="s">
        <v>1676</v>
      </c>
      <c r="BV966" t="s">
        <v>86</v>
      </c>
      <c r="BY966">
        <v>7776</v>
      </c>
      <c r="CC966" t="s">
        <v>885</v>
      </c>
      <c r="CD966">
        <v>2740</v>
      </c>
      <c r="CE966" t="s">
        <v>107</v>
      </c>
      <c r="CF966" s="3">
        <v>45940</v>
      </c>
      <c r="CI966">
        <v>1</v>
      </c>
      <c r="CJ966">
        <v>1</v>
      </c>
      <c r="CK966">
        <v>23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"080068395260"</f>
        <v>080068395260</v>
      </c>
      <c r="F967" s="3">
        <v>45938</v>
      </c>
      <c r="G967">
        <v>202607</v>
      </c>
      <c r="H967" t="s">
        <v>79</v>
      </c>
      <c r="I967" t="s">
        <v>80</v>
      </c>
      <c r="J967" t="s">
        <v>91</v>
      </c>
      <c r="K967" t="s">
        <v>78</v>
      </c>
      <c r="L967" t="s">
        <v>114</v>
      </c>
      <c r="M967" t="s">
        <v>115</v>
      </c>
      <c r="N967" t="s">
        <v>746</v>
      </c>
      <c r="O967" t="s">
        <v>82</v>
      </c>
      <c r="P967" t="str">
        <f>"4170063578                    "</f>
        <v xml:space="preserve">4170063578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33.520000000000003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3</v>
      </c>
      <c r="BJ967">
        <v>2.2000000000000002</v>
      </c>
      <c r="BK967">
        <v>3</v>
      </c>
      <c r="BL967">
        <v>106.4</v>
      </c>
      <c r="BM967">
        <v>15.96</v>
      </c>
      <c r="BN967">
        <v>122.36</v>
      </c>
      <c r="BO967">
        <v>122.36</v>
      </c>
      <c r="BQ967" t="s">
        <v>747</v>
      </c>
      <c r="BR967" t="s">
        <v>97</v>
      </c>
      <c r="BS967" s="3">
        <v>45939</v>
      </c>
      <c r="BT967" s="4">
        <v>0.52083333333333337</v>
      </c>
      <c r="BU967" t="s">
        <v>1706</v>
      </c>
      <c r="BV967" t="s">
        <v>90</v>
      </c>
      <c r="BY967">
        <v>11008</v>
      </c>
      <c r="CA967" t="s">
        <v>749</v>
      </c>
      <c r="CC967" t="s">
        <v>115</v>
      </c>
      <c r="CD967">
        <v>5201</v>
      </c>
      <c r="CE967" t="s">
        <v>107</v>
      </c>
      <c r="CF967" s="3">
        <v>45940</v>
      </c>
      <c r="CI967">
        <v>1</v>
      </c>
      <c r="CJ967">
        <v>1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"080068395275"</f>
        <v>080068395275</v>
      </c>
      <c r="F968" s="3">
        <v>45938</v>
      </c>
      <c r="G968">
        <v>202607</v>
      </c>
      <c r="H968" t="s">
        <v>79</v>
      </c>
      <c r="I968" t="s">
        <v>80</v>
      </c>
      <c r="J968" t="s">
        <v>91</v>
      </c>
      <c r="K968" t="s">
        <v>78</v>
      </c>
      <c r="L968" t="s">
        <v>218</v>
      </c>
      <c r="M968" t="s">
        <v>219</v>
      </c>
      <c r="N968" t="s">
        <v>682</v>
      </c>
      <c r="O968" t="s">
        <v>82</v>
      </c>
      <c r="P968" t="str">
        <f>"4170063515                    "</f>
        <v xml:space="preserve">4170063515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17.46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3.8</v>
      </c>
      <c r="BK968">
        <v>4</v>
      </c>
      <c r="BL968">
        <v>55.42</v>
      </c>
      <c r="BM968">
        <v>8.31</v>
      </c>
      <c r="BN968">
        <v>63.73</v>
      </c>
      <c r="BO968">
        <v>63.73</v>
      </c>
      <c r="BQ968" t="s">
        <v>683</v>
      </c>
      <c r="BR968" t="s">
        <v>97</v>
      </c>
      <c r="BS968" s="3">
        <v>45939</v>
      </c>
      <c r="BT968" s="4">
        <v>0.35347222222222224</v>
      </c>
      <c r="BU968" t="s">
        <v>1726</v>
      </c>
      <c r="BV968" t="s">
        <v>86</v>
      </c>
      <c r="BY968">
        <v>19040</v>
      </c>
      <c r="CA968" t="s">
        <v>1434</v>
      </c>
      <c r="CC968" t="s">
        <v>219</v>
      </c>
      <c r="CD968">
        <v>1559</v>
      </c>
      <c r="CE968" t="s">
        <v>107</v>
      </c>
      <c r="CF968" s="3">
        <v>45939</v>
      </c>
      <c r="CI968">
        <v>1</v>
      </c>
      <c r="CJ968">
        <v>1</v>
      </c>
      <c r="CK968">
        <v>22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"080068395307"</f>
        <v>080068395307</v>
      </c>
      <c r="F969" s="3">
        <v>45938</v>
      </c>
      <c r="G969">
        <v>202607</v>
      </c>
      <c r="H969" t="s">
        <v>79</v>
      </c>
      <c r="I969" t="s">
        <v>80</v>
      </c>
      <c r="J969" t="s">
        <v>91</v>
      </c>
      <c r="K969" t="s">
        <v>78</v>
      </c>
      <c r="L969" t="s">
        <v>1508</v>
      </c>
      <c r="M969" t="s">
        <v>1509</v>
      </c>
      <c r="N969" t="s">
        <v>1727</v>
      </c>
      <c r="O969" t="s">
        <v>82</v>
      </c>
      <c r="P969" t="str">
        <f>"4170063570                    "</f>
        <v xml:space="preserve">4170063570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72.650000000000006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</v>
      </c>
      <c r="BJ969">
        <v>3.4</v>
      </c>
      <c r="BK969">
        <v>3.5</v>
      </c>
      <c r="BL969">
        <v>230.59</v>
      </c>
      <c r="BM969">
        <v>34.590000000000003</v>
      </c>
      <c r="BN969">
        <v>265.18</v>
      </c>
      <c r="BO969">
        <v>265.18</v>
      </c>
      <c r="BQ969" t="s">
        <v>1728</v>
      </c>
      <c r="BR969" t="s">
        <v>97</v>
      </c>
      <c r="BS969" s="3">
        <v>45939</v>
      </c>
      <c r="BT969" s="4">
        <v>0.65277777777777779</v>
      </c>
      <c r="BU969" t="s">
        <v>1662</v>
      </c>
      <c r="BV969" t="s">
        <v>86</v>
      </c>
      <c r="BY969">
        <v>16965</v>
      </c>
      <c r="CA969" t="s">
        <v>1663</v>
      </c>
      <c r="CC969" t="s">
        <v>1509</v>
      </c>
      <c r="CD969">
        <v>3370</v>
      </c>
      <c r="CE969" t="s">
        <v>191</v>
      </c>
      <c r="CF969" s="3">
        <v>45940</v>
      </c>
      <c r="CI969">
        <v>2</v>
      </c>
      <c r="CJ969">
        <v>1</v>
      </c>
      <c r="CK969">
        <v>23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"080068395341"</f>
        <v>080068395341</v>
      </c>
      <c r="F970" s="3">
        <v>45938</v>
      </c>
      <c r="G970">
        <v>202607</v>
      </c>
      <c r="H970" t="s">
        <v>79</v>
      </c>
      <c r="I970" t="s">
        <v>80</v>
      </c>
      <c r="J970" t="s">
        <v>91</v>
      </c>
      <c r="K970" t="s">
        <v>78</v>
      </c>
      <c r="L970" t="s">
        <v>168</v>
      </c>
      <c r="M970" t="s">
        <v>169</v>
      </c>
      <c r="N970" t="s">
        <v>923</v>
      </c>
      <c r="O970" t="s">
        <v>95</v>
      </c>
      <c r="P970" t="str">
        <f>"4170063435                    "</f>
        <v xml:space="preserve">4170063435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43.23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2</v>
      </c>
      <c r="BI970">
        <v>10</v>
      </c>
      <c r="BJ970">
        <v>11.8</v>
      </c>
      <c r="BK970">
        <v>12</v>
      </c>
      <c r="BL970">
        <v>143.08000000000001</v>
      </c>
      <c r="BM970">
        <v>21.46</v>
      </c>
      <c r="BN970">
        <v>164.54</v>
      </c>
      <c r="BO970">
        <v>164.54</v>
      </c>
      <c r="BQ970" t="s">
        <v>924</v>
      </c>
      <c r="BR970" t="s">
        <v>97</v>
      </c>
      <c r="BS970" s="3">
        <v>45939</v>
      </c>
      <c r="BT970" s="4">
        <v>0.44722222222222224</v>
      </c>
      <c r="BU970" t="s">
        <v>1121</v>
      </c>
      <c r="BV970" t="s">
        <v>86</v>
      </c>
      <c r="BY970">
        <v>59022</v>
      </c>
      <c r="CA970">
        <v>9107126013089</v>
      </c>
      <c r="CC970" t="s">
        <v>169</v>
      </c>
      <c r="CD970" s="5" t="s">
        <v>926</v>
      </c>
      <c r="CE970" t="s">
        <v>191</v>
      </c>
      <c r="CF970" s="3">
        <v>45939</v>
      </c>
      <c r="CI970">
        <v>1</v>
      </c>
      <c r="CJ970">
        <v>1</v>
      </c>
      <c r="CK970">
        <v>41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"080068395421"</f>
        <v>080068395421</v>
      </c>
      <c r="F971" s="3">
        <v>45938</v>
      </c>
      <c r="G971">
        <v>202607</v>
      </c>
      <c r="H971" t="s">
        <v>79</v>
      </c>
      <c r="I971" t="s">
        <v>80</v>
      </c>
      <c r="J971" t="s">
        <v>91</v>
      </c>
      <c r="K971" t="s">
        <v>78</v>
      </c>
      <c r="L971" t="s">
        <v>108</v>
      </c>
      <c r="M971" t="s">
        <v>109</v>
      </c>
      <c r="N971" t="s">
        <v>515</v>
      </c>
      <c r="O971" t="s">
        <v>82</v>
      </c>
      <c r="P971" t="str">
        <f>"4170063539                    "</f>
        <v xml:space="preserve">4170063539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22.36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70.959999999999994</v>
      </c>
      <c r="BM971">
        <v>10.64</v>
      </c>
      <c r="BN971">
        <v>81.599999999999994</v>
      </c>
      <c r="BO971">
        <v>81.599999999999994</v>
      </c>
      <c r="BQ971" t="s">
        <v>516</v>
      </c>
      <c r="BR971" t="s">
        <v>97</v>
      </c>
      <c r="BS971" s="3">
        <v>45939</v>
      </c>
      <c r="BT971" s="4">
        <v>0.4375</v>
      </c>
      <c r="BU971" t="s">
        <v>1289</v>
      </c>
      <c r="BV971" t="s">
        <v>86</v>
      </c>
      <c r="BY971">
        <v>1200</v>
      </c>
      <c r="CA971" t="s">
        <v>1137</v>
      </c>
      <c r="CC971" t="s">
        <v>109</v>
      </c>
      <c r="CD971">
        <v>6001</v>
      </c>
      <c r="CE971" t="s">
        <v>147</v>
      </c>
      <c r="CF971" s="3">
        <v>45939</v>
      </c>
      <c r="CI971">
        <v>1</v>
      </c>
      <c r="CJ971">
        <v>1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"080068395435"</f>
        <v>080068395435</v>
      </c>
      <c r="F972" s="3">
        <v>45938</v>
      </c>
      <c r="G972">
        <v>202607</v>
      </c>
      <c r="H972" t="s">
        <v>79</v>
      </c>
      <c r="I972" t="s">
        <v>80</v>
      </c>
      <c r="J972" t="s">
        <v>91</v>
      </c>
      <c r="K972" t="s">
        <v>78</v>
      </c>
      <c r="L972" t="s">
        <v>223</v>
      </c>
      <c r="M972" t="s">
        <v>224</v>
      </c>
      <c r="N972" t="s">
        <v>1729</v>
      </c>
      <c r="O972" t="s">
        <v>82</v>
      </c>
      <c r="P972" t="str">
        <f>"4170063492                    "</f>
        <v xml:space="preserve">4170063492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17.46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55.42</v>
      </c>
      <c r="BM972">
        <v>8.31</v>
      </c>
      <c r="BN972">
        <v>63.73</v>
      </c>
      <c r="BO972">
        <v>63.73</v>
      </c>
      <c r="BQ972" t="s">
        <v>1730</v>
      </c>
      <c r="BR972" t="s">
        <v>97</v>
      </c>
      <c r="BS972" s="3">
        <v>45939</v>
      </c>
      <c r="BT972" s="4">
        <v>0.34930555555555554</v>
      </c>
      <c r="BU972" t="s">
        <v>1731</v>
      </c>
      <c r="BV972" t="s">
        <v>86</v>
      </c>
      <c r="BY972">
        <v>1200</v>
      </c>
      <c r="CA972" t="s">
        <v>508</v>
      </c>
      <c r="CC972" t="s">
        <v>224</v>
      </c>
      <c r="CD972">
        <v>1459</v>
      </c>
      <c r="CE972" t="s">
        <v>147</v>
      </c>
      <c r="CF972" s="3">
        <v>45940</v>
      </c>
      <c r="CI972">
        <v>1</v>
      </c>
      <c r="CJ972">
        <v>1</v>
      </c>
      <c r="CK972">
        <v>22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"080068395450"</f>
        <v>080068395450</v>
      </c>
      <c r="F973" s="3">
        <v>45938</v>
      </c>
      <c r="G973">
        <v>202607</v>
      </c>
      <c r="H973" t="s">
        <v>79</v>
      </c>
      <c r="I973" t="s">
        <v>80</v>
      </c>
      <c r="J973" t="s">
        <v>91</v>
      </c>
      <c r="K973" t="s">
        <v>78</v>
      </c>
      <c r="L973" t="s">
        <v>206</v>
      </c>
      <c r="M973" t="s">
        <v>207</v>
      </c>
      <c r="N973" t="s">
        <v>208</v>
      </c>
      <c r="O973" t="s">
        <v>82</v>
      </c>
      <c r="P973" t="str">
        <f>"4170063561                    "</f>
        <v xml:space="preserve">4170063561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22.36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70.959999999999994</v>
      </c>
      <c r="BM973">
        <v>10.64</v>
      </c>
      <c r="BN973">
        <v>81.599999999999994</v>
      </c>
      <c r="BO973">
        <v>81.599999999999994</v>
      </c>
      <c r="BQ973" t="s">
        <v>209</v>
      </c>
      <c r="BR973" t="s">
        <v>97</v>
      </c>
      <c r="BS973" s="3">
        <v>45939</v>
      </c>
      <c r="BT973" s="4">
        <v>0.38541666666666669</v>
      </c>
      <c r="BU973" t="s">
        <v>1732</v>
      </c>
      <c r="BV973" t="s">
        <v>86</v>
      </c>
      <c r="BY973">
        <v>1200</v>
      </c>
      <c r="CA973" t="s">
        <v>211</v>
      </c>
      <c r="CC973" t="s">
        <v>207</v>
      </c>
      <c r="CD973">
        <v>7441</v>
      </c>
      <c r="CE973" t="s">
        <v>147</v>
      </c>
      <c r="CF973" s="3">
        <v>45940</v>
      </c>
      <c r="CI973">
        <v>1</v>
      </c>
      <c r="CJ973">
        <v>1</v>
      </c>
      <c r="CK973">
        <v>21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"080068395465"</f>
        <v>080068395465</v>
      </c>
      <c r="F974" s="3">
        <v>45938</v>
      </c>
      <c r="G974">
        <v>202607</v>
      </c>
      <c r="H974" t="s">
        <v>79</v>
      </c>
      <c r="I974" t="s">
        <v>80</v>
      </c>
      <c r="J974" t="s">
        <v>91</v>
      </c>
      <c r="K974" t="s">
        <v>78</v>
      </c>
      <c r="L974" t="s">
        <v>1684</v>
      </c>
      <c r="M974" t="s">
        <v>1685</v>
      </c>
      <c r="N974" t="s">
        <v>1686</v>
      </c>
      <c r="O974" t="s">
        <v>82</v>
      </c>
      <c r="P974" t="str">
        <f>"4170063549                    "</f>
        <v xml:space="preserve">4170063549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43.31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137.47</v>
      </c>
      <c r="BM974">
        <v>20.62</v>
      </c>
      <c r="BN974">
        <v>158.09</v>
      </c>
      <c r="BO974">
        <v>158.09</v>
      </c>
      <c r="BQ974" t="s">
        <v>1687</v>
      </c>
      <c r="BR974" t="s">
        <v>97</v>
      </c>
      <c r="BS974" s="3">
        <v>45940</v>
      </c>
      <c r="BT974" s="4">
        <v>0.4465277777777778</v>
      </c>
      <c r="BU974" t="s">
        <v>1688</v>
      </c>
      <c r="BV974" t="s">
        <v>86</v>
      </c>
      <c r="BY974">
        <v>1200</v>
      </c>
      <c r="CC974" t="s">
        <v>1685</v>
      </c>
      <c r="CD974">
        <v>6742</v>
      </c>
      <c r="CE974" t="s">
        <v>147</v>
      </c>
      <c r="CF974" s="3">
        <v>45951</v>
      </c>
      <c r="CI974">
        <v>2</v>
      </c>
      <c r="CJ974">
        <v>2</v>
      </c>
      <c r="CK974">
        <v>23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"080068395476"</f>
        <v>080068395476</v>
      </c>
      <c r="F975" s="3">
        <v>45938</v>
      </c>
      <c r="G975">
        <v>202607</v>
      </c>
      <c r="H975" t="s">
        <v>79</v>
      </c>
      <c r="I975" t="s">
        <v>80</v>
      </c>
      <c r="J975" t="s">
        <v>91</v>
      </c>
      <c r="K975" t="s">
        <v>78</v>
      </c>
      <c r="L975" t="s">
        <v>530</v>
      </c>
      <c r="M975" t="s">
        <v>531</v>
      </c>
      <c r="N975" t="s">
        <v>532</v>
      </c>
      <c r="O975" t="s">
        <v>82</v>
      </c>
      <c r="P975" t="str">
        <f>"4170063591                    "</f>
        <v xml:space="preserve">4170063591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43.31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137.47</v>
      </c>
      <c r="BM975">
        <v>20.62</v>
      </c>
      <c r="BN975">
        <v>158.09</v>
      </c>
      <c r="BO975">
        <v>158.09</v>
      </c>
      <c r="BQ975" t="s">
        <v>533</v>
      </c>
      <c r="BR975" t="s">
        <v>97</v>
      </c>
      <c r="BS975" s="3">
        <v>45939</v>
      </c>
      <c r="BT975" s="4">
        <v>0.57222222222222219</v>
      </c>
      <c r="BU975" t="s">
        <v>1664</v>
      </c>
      <c r="BV975" t="s">
        <v>86</v>
      </c>
      <c r="BY975">
        <v>1200</v>
      </c>
      <c r="CA975" t="s">
        <v>1245</v>
      </c>
      <c r="CC975" t="s">
        <v>531</v>
      </c>
      <c r="CD975">
        <v>6850</v>
      </c>
      <c r="CE975" t="s">
        <v>147</v>
      </c>
      <c r="CF975" s="3">
        <v>45940</v>
      </c>
      <c r="CI975">
        <v>2</v>
      </c>
      <c r="CJ975">
        <v>1</v>
      </c>
      <c r="CK975">
        <v>23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"080068395507"</f>
        <v>080068395507</v>
      </c>
      <c r="F976" s="3">
        <v>45938</v>
      </c>
      <c r="G976">
        <v>202607</v>
      </c>
      <c r="H976" t="s">
        <v>79</v>
      </c>
      <c r="I976" t="s">
        <v>80</v>
      </c>
      <c r="J976" t="s">
        <v>91</v>
      </c>
      <c r="K976" t="s">
        <v>78</v>
      </c>
      <c r="L976" t="s">
        <v>108</v>
      </c>
      <c r="M976" t="s">
        <v>109</v>
      </c>
      <c r="N976" t="s">
        <v>139</v>
      </c>
      <c r="O976" t="s">
        <v>82</v>
      </c>
      <c r="P976" t="str">
        <f>"4170063475                    "</f>
        <v xml:space="preserve">4170063475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22.36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1.1000000000000001</v>
      </c>
      <c r="BK976">
        <v>2</v>
      </c>
      <c r="BL976">
        <v>70.959999999999994</v>
      </c>
      <c r="BM976">
        <v>10.64</v>
      </c>
      <c r="BN976">
        <v>81.599999999999994</v>
      </c>
      <c r="BO976">
        <v>81.599999999999994</v>
      </c>
      <c r="BQ976" t="s">
        <v>140</v>
      </c>
      <c r="BR976" t="s">
        <v>97</v>
      </c>
      <c r="BS976" s="3">
        <v>45939</v>
      </c>
      <c r="BT976" s="4">
        <v>0.37638888888888888</v>
      </c>
      <c r="BU976" t="s">
        <v>1733</v>
      </c>
      <c r="BV976" t="s">
        <v>86</v>
      </c>
      <c r="BY976">
        <v>5510</v>
      </c>
      <c r="CA976" t="s">
        <v>142</v>
      </c>
      <c r="CC976" t="s">
        <v>109</v>
      </c>
      <c r="CD976">
        <v>6001</v>
      </c>
      <c r="CE976" t="s">
        <v>191</v>
      </c>
      <c r="CF976" s="3">
        <v>45939</v>
      </c>
      <c r="CI976">
        <v>1</v>
      </c>
      <c r="CJ976">
        <v>1</v>
      </c>
      <c r="CK976">
        <v>21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"080068395518"</f>
        <v>080068395518</v>
      </c>
      <c r="F977" s="3">
        <v>45938</v>
      </c>
      <c r="G977">
        <v>202607</v>
      </c>
      <c r="H977" t="s">
        <v>79</v>
      </c>
      <c r="I977" t="s">
        <v>80</v>
      </c>
      <c r="J977" t="s">
        <v>91</v>
      </c>
      <c r="K977" t="s">
        <v>78</v>
      </c>
      <c r="L977" t="s">
        <v>333</v>
      </c>
      <c r="M977" t="s">
        <v>334</v>
      </c>
      <c r="N977" t="s">
        <v>1388</v>
      </c>
      <c r="O977" t="s">
        <v>82</v>
      </c>
      <c r="P977" t="str">
        <f>"4170063477                    "</f>
        <v xml:space="preserve">4170063477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22.36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1.1000000000000001</v>
      </c>
      <c r="BK977">
        <v>1.5</v>
      </c>
      <c r="BL977">
        <v>70.959999999999994</v>
      </c>
      <c r="BM977">
        <v>10.64</v>
      </c>
      <c r="BN977">
        <v>81.599999999999994</v>
      </c>
      <c r="BO977">
        <v>81.599999999999994</v>
      </c>
      <c r="BQ977" t="s">
        <v>1389</v>
      </c>
      <c r="BR977" t="s">
        <v>97</v>
      </c>
      <c r="BS977" s="3">
        <v>45939</v>
      </c>
      <c r="BT977" s="4">
        <v>0.40486111111111112</v>
      </c>
      <c r="BU977" t="s">
        <v>1734</v>
      </c>
      <c r="BV977" t="s">
        <v>86</v>
      </c>
      <c r="BY977">
        <v>5510</v>
      </c>
      <c r="CA977" t="s">
        <v>142</v>
      </c>
      <c r="CC977" t="s">
        <v>334</v>
      </c>
      <c r="CD977">
        <v>6220</v>
      </c>
      <c r="CE977" t="s">
        <v>191</v>
      </c>
      <c r="CF977" s="3">
        <v>45939</v>
      </c>
      <c r="CI977">
        <v>1</v>
      </c>
      <c r="CJ977">
        <v>1</v>
      </c>
      <c r="CK977">
        <v>21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"080068395535"</f>
        <v>080068395535</v>
      </c>
      <c r="F978" s="3">
        <v>45938</v>
      </c>
      <c r="G978">
        <v>202607</v>
      </c>
      <c r="H978" t="s">
        <v>79</v>
      </c>
      <c r="I978" t="s">
        <v>80</v>
      </c>
      <c r="J978" t="s">
        <v>91</v>
      </c>
      <c r="K978" t="s">
        <v>78</v>
      </c>
      <c r="L978" t="s">
        <v>322</v>
      </c>
      <c r="M978" t="s">
        <v>322</v>
      </c>
      <c r="N978" t="s">
        <v>483</v>
      </c>
      <c r="O978" t="s">
        <v>82</v>
      </c>
      <c r="P978" t="str">
        <f>"4170063182                    "</f>
        <v xml:space="preserve">4170063182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43.31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137.47</v>
      </c>
      <c r="BM978">
        <v>20.62</v>
      </c>
      <c r="BN978">
        <v>158.09</v>
      </c>
      <c r="BO978">
        <v>158.09</v>
      </c>
      <c r="BQ978" t="s">
        <v>486</v>
      </c>
      <c r="BR978" t="s">
        <v>97</v>
      </c>
      <c r="BS978" s="3">
        <v>45939</v>
      </c>
      <c r="BT978" s="4">
        <v>0.45069444444444445</v>
      </c>
      <c r="BU978" t="s">
        <v>1636</v>
      </c>
      <c r="BV978" t="s">
        <v>86</v>
      </c>
      <c r="BY978">
        <v>1200</v>
      </c>
      <c r="CA978" t="s">
        <v>1637</v>
      </c>
      <c r="CC978" t="s">
        <v>322</v>
      </c>
      <c r="CD978">
        <v>7646</v>
      </c>
      <c r="CE978" t="s">
        <v>147</v>
      </c>
      <c r="CF978" s="3">
        <v>45940</v>
      </c>
      <c r="CI978">
        <v>1</v>
      </c>
      <c r="CJ978">
        <v>1</v>
      </c>
      <c r="CK978">
        <v>23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"080068395548"</f>
        <v>080068395548</v>
      </c>
      <c r="F979" s="3">
        <v>45938</v>
      </c>
      <c r="G979">
        <v>202607</v>
      </c>
      <c r="H979" t="s">
        <v>79</v>
      </c>
      <c r="I979" t="s">
        <v>80</v>
      </c>
      <c r="J979" t="s">
        <v>91</v>
      </c>
      <c r="K979" t="s">
        <v>78</v>
      </c>
      <c r="L979" t="s">
        <v>206</v>
      </c>
      <c r="M979" t="s">
        <v>207</v>
      </c>
      <c r="N979" t="s">
        <v>1062</v>
      </c>
      <c r="O979" t="s">
        <v>82</v>
      </c>
      <c r="P979" t="str">
        <f>"4170063536                    "</f>
        <v xml:space="preserve">4170063536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22.36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70.959999999999994</v>
      </c>
      <c r="BM979">
        <v>10.64</v>
      </c>
      <c r="BN979">
        <v>81.599999999999994</v>
      </c>
      <c r="BO979">
        <v>81.599999999999994</v>
      </c>
      <c r="BQ979" t="s">
        <v>1063</v>
      </c>
      <c r="BR979" t="s">
        <v>97</v>
      </c>
      <c r="BS979" s="3">
        <v>45939</v>
      </c>
      <c r="BT979" s="4">
        <v>0.3840277777777778</v>
      </c>
      <c r="BU979" t="s">
        <v>1735</v>
      </c>
      <c r="BV979" t="s">
        <v>86</v>
      </c>
      <c r="BY979">
        <v>1200</v>
      </c>
      <c r="CA979" t="s">
        <v>211</v>
      </c>
      <c r="CC979" t="s">
        <v>207</v>
      </c>
      <c r="CD979">
        <v>8001</v>
      </c>
      <c r="CE979" t="s">
        <v>147</v>
      </c>
      <c r="CF979" s="3">
        <v>45940</v>
      </c>
      <c r="CI979">
        <v>1</v>
      </c>
      <c r="CJ979">
        <v>1</v>
      </c>
      <c r="CK979">
        <v>21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"080068395567"</f>
        <v>080068395567</v>
      </c>
      <c r="F980" s="3">
        <v>45938</v>
      </c>
      <c r="G980">
        <v>202607</v>
      </c>
      <c r="H980" t="s">
        <v>79</v>
      </c>
      <c r="I980" t="s">
        <v>80</v>
      </c>
      <c r="J980" t="s">
        <v>91</v>
      </c>
      <c r="K980" t="s">
        <v>78</v>
      </c>
      <c r="L980" t="s">
        <v>206</v>
      </c>
      <c r="M980" t="s">
        <v>207</v>
      </c>
      <c r="N980" t="s">
        <v>208</v>
      </c>
      <c r="O980" t="s">
        <v>82</v>
      </c>
      <c r="P980" t="str">
        <f>"4170063526                    "</f>
        <v xml:space="preserve">4170063526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22.36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70.959999999999994</v>
      </c>
      <c r="BM980">
        <v>10.64</v>
      </c>
      <c r="BN980">
        <v>81.599999999999994</v>
      </c>
      <c r="BO980">
        <v>81.599999999999994</v>
      </c>
      <c r="BQ980" t="s">
        <v>209</v>
      </c>
      <c r="BR980" t="s">
        <v>97</v>
      </c>
      <c r="BS980" s="3">
        <v>45939</v>
      </c>
      <c r="BT980" s="4">
        <v>0.38541666666666669</v>
      </c>
      <c r="BU980" t="s">
        <v>1732</v>
      </c>
      <c r="BV980" t="s">
        <v>86</v>
      </c>
      <c r="BY980">
        <v>1200</v>
      </c>
      <c r="CA980" t="s">
        <v>211</v>
      </c>
      <c r="CC980" t="s">
        <v>207</v>
      </c>
      <c r="CD980">
        <v>7441</v>
      </c>
      <c r="CE980" t="s">
        <v>147</v>
      </c>
      <c r="CF980" s="3">
        <v>45940</v>
      </c>
      <c r="CI980">
        <v>1</v>
      </c>
      <c r="CJ980">
        <v>1</v>
      </c>
      <c r="CK980">
        <v>21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"080068395577"</f>
        <v>080068395577</v>
      </c>
      <c r="F981" s="3">
        <v>45938</v>
      </c>
      <c r="G981">
        <v>202607</v>
      </c>
      <c r="H981" t="s">
        <v>79</v>
      </c>
      <c r="I981" t="s">
        <v>80</v>
      </c>
      <c r="J981" t="s">
        <v>91</v>
      </c>
      <c r="K981" t="s">
        <v>78</v>
      </c>
      <c r="L981" t="s">
        <v>1736</v>
      </c>
      <c r="M981" t="s">
        <v>1737</v>
      </c>
      <c r="N981" t="s">
        <v>1738</v>
      </c>
      <c r="O981" t="s">
        <v>82</v>
      </c>
      <c r="P981" t="str">
        <f>"4170063610                    "</f>
        <v xml:space="preserve">4170063610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22.36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70.959999999999994</v>
      </c>
      <c r="BM981">
        <v>10.64</v>
      </c>
      <c r="BN981">
        <v>81.599999999999994</v>
      </c>
      <c r="BO981">
        <v>81.599999999999994</v>
      </c>
      <c r="BQ981" t="s">
        <v>1739</v>
      </c>
      <c r="BR981" t="s">
        <v>97</v>
      </c>
      <c r="BS981" s="3">
        <v>45939</v>
      </c>
      <c r="BT981" s="4">
        <v>0.36458333333333331</v>
      </c>
      <c r="BU981" t="s">
        <v>1740</v>
      </c>
      <c r="BV981" t="s">
        <v>86</v>
      </c>
      <c r="BY981">
        <v>1200</v>
      </c>
      <c r="CA981" t="s">
        <v>157</v>
      </c>
      <c r="CC981" t="s">
        <v>1737</v>
      </c>
      <c r="CD981">
        <v>4026</v>
      </c>
      <c r="CE981" t="s">
        <v>147</v>
      </c>
      <c r="CF981" s="3">
        <v>45940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"080068395602"</f>
        <v>080068395602</v>
      </c>
      <c r="F982" s="3">
        <v>45938</v>
      </c>
      <c r="G982">
        <v>202607</v>
      </c>
      <c r="H982" t="s">
        <v>79</v>
      </c>
      <c r="I982" t="s">
        <v>80</v>
      </c>
      <c r="J982" t="s">
        <v>91</v>
      </c>
      <c r="K982" t="s">
        <v>78</v>
      </c>
      <c r="L982" t="s">
        <v>108</v>
      </c>
      <c r="M982" t="s">
        <v>109</v>
      </c>
      <c r="N982" t="s">
        <v>229</v>
      </c>
      <c r="O982" t="s">
        <v>82</v>
      </c>
      <c r="P982" t="str">
        <f>"4170063459                    "</f>
        <v xml:space="preserve">4170063459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22.36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70.959999999999994</v>
      </c>
      <c r="BM982">
        <v>10.64</v>
      </c>
      <c r="BN982">
        <v>81.599999999999994</v>
      </c>
      <c r="BO982">
        <v>81.599999999999994</v>
      </c>
      <c r="BQ982" t="s">
        <v>230</v>
      </c>
      <c r="BR982" t="s">
        <v>97</v>
      </c>
      <c r="BS982" s="3">
        <v>45939</v>
      </c>
      <c r="BT982" s="4">
        <v>0.4201388888888889</v>
      </c>
      <c r="BU982" t="s">
        <v>1741</v>
      </c>
      <c r="BV982" t="s">
        <v>86</v>
      </c>
      <c r="BY982">
        <v>1200</v>
      </c>
      <c r="CA982" t="s">
        <v>1145</v>
      </c>
      <c r="CC982" t="s">
        <v>109</v>
      </c>
      <c r="CD982">
        <v>6001</v>
      </c>
      <c r="CE982" t="s">
        <v>147</v>
      </c>
      <c r="CF982" s="3">
        <v>45939</v>
      </c>
      <c r="CI982">
        <v>1</v>
      </c>
      <c r="CJ982">
        <v>1</v>
      </c>
      <c r="CK982">
        <v>21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"080068395609"</f>
        <v>080068395609</v>
      </c>
      <c r="F983" s="3">
        <v>45938</v>
      </c>
      <c r="G983">
        <v>202607</v>
      </c>
      <c r="H983" t="s">
        <v>79</v>
      </c>
      <c r="I983" t="s">
        <v>80</v>
      </c>
      <c r="J983" t="s">
        <v>91</v>
      </c>
      <c r="K983" t="s">
        <v>78</v>
      </c>
      <c r="L983" t="s">
        <v>218</v>
      </c>
      <c r="M983" t="s">
        <v>219</v>
      </c>
      <c r="N983" t="s">
        <v>898</v>
      </c>
      <c r="O983" t="s">
        <v>82</v>
      </c>
      <c r="P983" t="str">
        <f>"4170063489                    "</f>
        <v xml:space="preserve">4170063489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17.46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55.42</v>
      </c>
      <c r="BM983">
        <v>8.31</v>
      </c>
      <c r="BN983">
        <v>63.73</v>
      </c>
      <c r="BO983">
        <v>63.73</v>
      </c>
      <c r="BQ983" t="s">
        <v>899</v>
      </c>
      <c r="BR983" t="s">
        <v>97</v>
      </c>
      <c r="BS983" s="3">
        <v>45939</v>
      </c>
      <c r="BT983" s="4">
        <v>0.31736111111111109</v>
      </c>
      <c r="BU983" t="s">
        <v>1535</v>
      </c>
      <c r="BV983" t="s">
        <v>86</v>
      </c>
      <c r="BY983">
        <v>1200</v>
      </c>
      <c r="CA983" t="s">
        <v>1434</v>
      </c>
      <c r="CC983" t="s">
        <v>219</v>
      </c>
      <c r="CD983">
        <v>1559</v>
      </c>
      <c r="CE983" t="s">
        <v>147</v>
      </c>
      <c r="CF983" s="3">
        <v>45939</v>
      </c>
      <c r="CI983">
        <v>1</v>
      </c>
      <c r="CJ983">
        <v>1</v>
      </c>
      <c r="CK983">
        <v>22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"080068395629"</f>
        <v>080068395629</v>
      </c>
      <c r="F984" s="3">
        <v>45938</v>
      </c>
      <c r="G984">
        <v>202607</v>
      </c>
      <c r="H984" t="s">
        <v>79</v>
      </c>
      <c r="I984" t="s">
        <v>80</v>
      </c>
      <c r="J984" t="s">
        <v>91</v>
      </c>
      <c r="K984" t="s">
        <v>78</v>
      </c>
      <c r="L984" t="s">
        <v>148</v>
      </c>
      <c r="M984" t="s">
        <v>149</v>
      </c>
      <c r="N984" t="s">
        <v>150</v>
      </c>
      <c r="O984" t="s">
        <v>82</v>
      </c>
      <c r="P984" t="str">
        <f>"4170063480                    "</f>
        <v xml:space="preserve">4170063480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17.46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55.42</v>
      </c>
      <c r="BM984">
        <v>8.31</v>
      </c>
      <c r="BN984">
        <v>63.73</v>
      </c>
      <c r="BO984">
        <v>63.73</v>
      </c>
      <c r="BQ984" t="s">
        <v>151</v>
      </c>
      <c r="BR984" t="s">
        <v>97</v>
      </c>
      <c r="BS984" s="3">
        <v>45939</v>
      </c>
      <c r="BT984" s="4">
        <v>0.2951388888888889</v>
      </c>
      <c r="BU984" t="s">
        <v>1742</v>
      </c>
      <c r="BV984" t="s">
        <v>86</v>
      </c>
      <c r="BY984">
        <v>1200</v>
      </c>
      <c r="CA984" t="s">
        <v>1463</v>
      </c>
      <c r="CC984" t="s">
        <v>149</v>
      </c>
      <c r="CD984">
        <v>2013</v>
      </c>
      <c r="CE984" t="s">
        <v>147</v>
      </c>
      <c r="CF984" s="3">
        <v>45940</v>
      </c>
      <c r="CI984">
        <v>1</v>
      </c>
      <c r="CJ984">
        <v>1</v>
      </c>
      <c r="CK984">
        <v>22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"080068395630"</f>
        <v>080068395630</v>
      </c>
      <c r="F985" s="3">
        <v>45938</v>
      </c>
      <c r="G985">
        <v>202607</v>
      </c>
      <c r="H985" t="s">
        <v>79</v>
      </c>
      <c r="I985" t="s">
        <v>80</v>
      </c>
      <c r="J985" t="s">
        <v>91</v>
      </c>
      <c r="K985" t="s">
        <v>78</v>
      </c>
      <c r="L985" t="s">
        <v>322</v>
      </c>
      <c r="M985" t="s">
        <v>322</v>
      </c>
      <c r="N985" t="s">
        <v>483</v>
      </c>
      <c r="O985" t="s">
        <v>82</v>
      </c>
      <c r="P985" t="str">
        <f>"4170063512                    "</f>
        <v xml:space="preserve">4170063512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43.31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137.47</v>
      </c>
      <c r="BM985">
        <v>20.62</v>
      </c>
      <c r="BN985">
        <v>158.09</v>
      </c>
      <c r="BO985">
        <v>158.09</v>
      </c>
      <c r="BQ985" t="s">
        <v>486</v>
      </c>
      <c r="BR985" t="s">
        <v>97</v>
      </c>
      <c r="BS985" s="3">
        <v>45939</v>
      </c>
      <c r="BT985" s="4">
        <v>0.44722222222222224</v>
      </c>
      <c r="BU985" t="s">
        <v>1636</v>
      </c>
      <c r="BV985" t="s">
        <v>86</v>
      </c>
      <c r="BY985">
        <v>1200</v>
      </c>
      <c r="CA985" t="s">
        <v>1637</v>
      </c>
      <c r="CC985" t="s">
        <v>322</v>
      </c>
      <c r="CD985">
        <v>7646</v>
      </c>
      <c r="CE985" t="s">
        <v>147</v>
      </c>
      <c r="CF985" s="3">
        <v>45940</v>
      </c>
      <c r="CI985">
        <v>1</v>
      </c>
      <c r="CJ985">
        <v>1</v>
      </c>
      <c r="CK985">
        <v>23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"080068395646"</f>
        <v>080068395646</v>
      </c>
      <c r="F986" s="3">
        <v>45938</v>
      </c>
      <c r="G986">
        <v>202607</v>
      </c>
      <c r="H986" t="s">
        <v>79</v>
      </c>
      <c r="I986" t="s">
        <v>80</v>
      </c>
      <c r="J986" t="s">
        <v>91</v>
      </c>
      <c r="K986" t="s">
        <v>78</v>
      </c>
      <c r="L986" t="s">
        <v>985</v>
      </c>
      <c r="M986" t="s">
        <v>986</v>
      </c>
      <c r="N986" t="s">
        <v>987</v>
      </c>
      <c r="O986" t="s">
        <v>82</v>
      </c>
      <c r="P986" t="str">
        <f>"4170063513                    "</f>
        <v xml:space="preserve">4170063513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22.36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70.959999999999994</v>
      </c>
      <c r="BM986">
        <v>10.64</v>
      </c>
      <c r="BN986">
        <v>81.599999999999994</v>
      </c>
      <c r="BO986">
        <v>81.599999999999994</v>
      </c>
      <c r="BQ986" t="s">
        <v>988</v>
      </c>
      <c r="BR986" t="s">
        <v>97</v>
      </c>
      <c r="BS986" s="3">
        <v>45939</v>
      </c>
      <c r="BT986" s="4">
        <v>0.36319444444444443</v>
      </c>
      <c r="BU986" t="s">
        <v>1743</v>
      </c>
      <c r="BV986" t="s">
        <v>86</v>
      </c>
      <c r="BY986">
        <v>1200</v>
      </c>
      <c r="CA986" t="s">
        <v>1359</v>
      </c>
      <c r="CC986" t="s">
        <v>986</v>
      </c>
      <c r="CD986">
        <v>7600</v>
      </c>
      <c r="CE986" t="s">
        <v>147</v>
      </c>
      <c r="CF986" s="3">
        <v>45940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"080068395648"</f>
        <v>080068395648</v>
      </c>
      <c r="F987" s="3">
        <v>45938</v>
      </c>
      <c r="G987">
        <v>202607</v>
      </c>
      <c r="H987" t="s">
        <v>79</v>
      </c>
      <c r="I987" t="s">
        <v>80</v>
      </c>
      <c r="J987" t="s">
        <v>91</v>
      </c>
      <c r="K987" t="s">
        <v>78</v>
      </c>
      <c r="L987" t="s">
        <v>668</v>
      </c>
      <c r="M987" t="s">
        <v>669</v>
      </c>
      <c r="N987" t="s">
        <v>1744</v>
      </c>
      <c r="O987" t="s">
        <v>82</v>
      </c>
      <c r="P987" t="str">
        <f>"4170063452                    "</f>
        <v xml:space="preserve">4170063452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17.46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55.42</v>
      </c>
      <c r="BM987">
        <v>8.31</v>
      </c>
      <c r="BN987">
        <v>63.73</v>
      </c>
      <c r="BO987">
        <v>63.73</v>
      </c>
      <c r="BQ987" t="s">
        <v>1745</v>
      </c>
      <c r="BR987" t="s">
        <v>97</v>
      </c>
      <c r="BS987" s="3">
        <v>45939</v>
      </c>
      <c r="BT987" s="4">
        <v>0.41875000000000001</v>
      </c>
      <c r="BU987" t="s">
        <v>1746</v>
      </c>
      <c r="BV987" t="s">
        <v>86</v>
      </c>
      <c r="BY987">
        <v>1200</v>
      </c>
      <c r="CA987" t="s">
        <v>673</v>
      </c>
      <c r="CC987" t="s">
        <v>669</v>
      </c>
      <c r="CD987">
        <v>1501</v>
      </c>
      <c r="CE987" t="s">
        <v>147</v>
      </c>
      <c r="CF987" s="3">
        <v>45940</v>
      </c>
      <c r="CI987">
        <v>1</v>
      </c>
      <c r="CJ987">
        <v>1</v>
      </c>
      <c r="CK987">
        <v>22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"080068395662"</f>
        <v>080068395662</v>
      </c>
      <c r="F988" s="3">
        <v>45938</v>
      </c>
      <c r="G988">
        <v>202607</v>
      </c>
      <c r="H988" t="s">
        <v>79</v>
      </c>
      <c r="I988" t="s">
        <v>80</v>
      </c>
      <c r="J988" t="s">
        <v>91</v>
      </c>
      <c r="K988" t="s">
        <v>78</v>
      </c>
      <c r="L988" t="s">
        <v>108</v>
      </c>
      <c r="M988" t="s">
        <v>109</v>
      </c>
      <c r="N988" t="s">
        <v>1203</v>
      </c>
      <c r="O988" t="s">
        <v>82</v>
      </c>
      <c r="P988" t="str">
        <f>"4170063579                    "</f>
        <v xml:space="preserve">4170063579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22.36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70.959999999999994</v>
      </c>
      <c r="BM988">
        <v>10.64</v>
      </c>
      <c r="BN988">
        <v>81.599999999999994</v>
      </c>
      <c r="BO988">
        <v>81.599999999999994</v>
      </c>
      <c r="BQ988" t="s">
        <v>1204</v>
      </c>
      <c r="BR988" t="s">
        <v>97</v>
      </c>
      <c r="BS988" s="3">
        <v>45939</v>
      </c>
      <c r="BT988" s="4">
        <v>0.38680555555555557</v>
      </c>
      <c r="BU988" t="s">
        <v>1747</v>
      </c>
      <c r="BV988" t="s">
        <v>86</v>
      </c>
      <c r="BY988">
        <v>1200</v>
      </c>
      <c r="CA988" t="s">
        <v>1090</v>
      </c>
      <c r="CC988" t="s">
        <v>109</v>
      </c>
      <c r="CD988">
        <v>6012</v>
      </c>
      <c r="CE988" t="s">
        <v>147</v>
      </c>
      <c r="CF988" s="3">
        <v>45939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"080068395664"</f>
        <v>080068395664</v>
      </c>
      <c r="F989" s="3">
        <v>45938</v>
      </c>
      <c r="G989">
        <v>202607</v>
      </c>
      <c r="H989" t="s">
        <v>79</v>
      </c>
      <c r="I989" t="s">
        <v>80</v>
      </c>
      <c r="J989" t="s">
        <v>91</v>
      </c>
      <c r="K989" t="s">
        <v>78</v>
      </c>
      <c r="L989" t="s">
        <v>121</v>
      </c>
      <c r="M989" t="s">
        <v>122</v>
      </c>
      <c r="N989" t="s">
        <v>707</v>
      </c>
      <c r="O989" t="s">
        <v>82</v>
      </c>
      <c r="P989" t="str">
        <f>"4170063577                    "</f>
        <v xml:space="preserve">4170063577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22.36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70.959999999999994</v>
      </c>
      <c r="BM989">
        <v>10.64</v>
      </c>
      <c r="BN989">
        <v>81.599999999999994</v>
      </c>
      <c r="BO989">
        <v>81.599999999999994</v>
      </c>
      <c r="BQ989" t="s">
        <v>708</v>
      </c>
      <c r="BR989" t="s">
        <v>97</v>
      </c>
      <c r="BS989" s="3">
        <v>45939</v>
      </c>
      <c r="BT989" s="4">
        <v>0.42777777777777776</v>
      </c>
      <c r="BU989" t="s">
        <v>1630</v>
      </c>
      <c r="BV989" t="s">
        <v>86</v>
      </c>
      <c r="BY989">
        <v>1200</v>
      </c>
      <c r="CA989" t="s">
        <v>651</v>
      </c>
      <c r="CC989" t="s">
        <v>122</v>
      </c>
      <c r="CD989">
        <v>4001</v>
      </c>
      <c r="CE989" t="s">
        <v>147</v>
      </c>
      <c r="CF989" s="3">
        <v>45940</v>
      </c>
      <c r="CI989">
        <v>1</v>
      </c>
      <c r="CJ989">
        <v>1</v>
      </c>
      <c r="CK989">
        <v>21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"080068395671"</f>
        <v>080068395671</v>
      </c>
      <c r="F990" s="3">
        <v>45938</v>
      </c>
      <c r="G990">
        <v>202607</v>
      </c>
      <c r="H990" t="s">
        <v>79</v>
      </c>
      <c r="I990" t="s">
        <v>80</v>
      </c>
      <c r="J990" t="s">
        <v>91</v>
      </c>
      <c r="K990" t="s">
        <v>78</v>
      </c>
      <c r="L990" t="s">
        <v>1748</v>
      </c>
      <c r="M990" t="s">
        <v>1749</v>
      </c>
      <c r="N990" t="s">
        <v>1750</v>
      </c>
      <c r="O990" t="s">
        <v>82</v>
      </c>
      <c r="P990" t="str">
        <f>"4170063573                    "</f>
        <v xml:space="preserve">4170063573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43.31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137.47</v>
      </c>
      <c r="BM990">
        <v>20.62</v>
      </c>
      <c r="BN990">
        <v>158.09</v>
      </c>
      <c r="BO990">
        <v>158.09</v>
      </c>
      <c r="BQ990" t="s">
        <v>1751</v>
      </c>
      <c r="BR990" t="s">
        <v>97</v>
      </c>
      <c r="BS990" s="3">
        <v>45939</v>
      </c>
      <c r="BT990" s="4">
        <v>0.41805555555555557</v>
      </c>
      <c r="BU990" t="s">
        <v>1752</v>
      </c>
      <c r="BV990" t="s">
        <v>86</v>
      </c>
      <c r="BY990">
        <v>1200</v>
      </c>
      <c r="CA990" t="s">
        <v>1753</v>
      </c>
      <c r="CC990" t="s">
        <v>1749</v>
      </c>
      <c r="CD990">
        <v>7110</v>
      </c>
      <c r="CE990" t="s">
        <v>147</v>
      </c>
      <c r="CF990" s="3">
        <v>45940</v>
      </c>
      <c r="CI990">
        <v>1</v>
      </c>
      <c r="CJ990">
        <v>1</v>
      </c>
      <c r="CK990">
        <v>23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"080068395674"</f>
        <v>080068395674</v>
      </c>
      <c r="F991" s="3">
        <v>45938</v>
      </c>
      <c r="G991">
        <v>202607</v>
      </c>
      <c r="H991" t="s">
        <v>79</v>
      </c>
      <c r="I991" t="s">
        <v>80</v>
      </c>
      <c r="J991" t="s">
        <v>91</v>
      </c>
      <c r="K991" t="s">
        <v>78</v>
      </c>
      <c r="L991" t="s">
        <v>114</v>
      </c>
      <c r="M991" t="s">
        <v>115</v>
      </c>
      <c r="N991" t="s">
        <v>1235</v>
      </c>
      <c r="O991" t="s">
        <v>82</v>
      </c>
      <c r="P991" t="str">
        <f>"4170063615                    "</f>
        <v xml:space="preserve">4170063615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22.36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70.959999999999994</v>
      </c>
      <c r="BM991">
        <v>10.64</v>
      </c>
      <c r="BN991">
        <v>81.599999999999994</v>
      </c>
      <c r="BO991">
        <v>81.599999999999994</v>
      </c>
      <c r="BQ991" t="s">
        <v>1236</v>
      </c>
      <c r="BR991" t="s">
        <v>97</v>
      </c>
      <c r="BS991" s="3">
        <v>45940</v>
      </c>
      <c r="BT991" s="4">
        <v>0.57152777777777775</v>
      </c>
      <c r="BU991" t="s">
        <v>1754</v>
      </c>
      <c r="BV991" t="s">
        <v>90</v>
      </c>
      <c r="BY991">
        <v>1200</v>
      </c>
      <c r="CA991" t="s">
        <v>1755</v>
      </c>
      <c r="CC991" t="s">
        <v>115</v>
      </c>
      <c r="CD991">
        <v>5201</v>
      </c>
      <c r="CE991" t="s">
        <v>147</v>
      </c>
      <c r="CF991" s="3">
        <v>45940</v>
      </c>
      <c r="CI991">
        <v>1</v>
      </c>
      <c r="CJ991">
        <v>2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"080068395677"</f>
        <v>080068395677</v>
      </c>
      <c r="F992" s="3">
        <v>45938</v>
      </c>
      <c r="G992">
        <v>202607</v>
      </c>
      <c r="H992" t="s">
        <v>79</v>
      </c>
      <c r="I992" t="s">
        <v>80</v>
      </c>
      <c r="J992" t="s">
        <v>91</v>
      </c>
      <c r="K992" t="s">
        <v>78</v>
      </c>
      <c r="L992" t="s">
        <v>79</v>
      </c>
      <c r="M992" t="s">
        <v>80</v>
      </c>
      <c r="N992" t="s">
        <v>357</v>
      </c>
      <c r="O992" t="s">
        <v>82</v>
      </c>
      <c r="P992" t="str">
        <f>"4170063613                    "</f>
        <v xml:space="preserve">4170063613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17.46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55.42</v>
      </c>
      <c r="BM992">
        <v>8.31</v>
      </c>
      <c r="BN992">
        <v>63.73</v>
      </c>
      <c r="BO992">
        <v>63.73</v>
      </c>
      <c r="BQ992" t="s">
        <v>358</v>
      </c>
      <c r="BR992" t="s">
        <v>97</v>
      </c>
      <c r="BS992" s="3">
        <v>45939</v>
      </c>
      <c r="BT992" s="4">
        <v>0.41666666666666669</v>
      </c>
      <c r="BU992" t="s">
        <v>1702</v>
      </c>
      <c r="BV992" t="s">
        <v>86</v>
      </c>
      <c r="BY992">
        <v>1200</v>
      </c>
      <c r="CC992" t="s">
        <v>80</v>
      </c>
      <c r="CD992">
        <v>1645</v>
      </c>
      <c r="CE992" t="s">
        <v>147</v>
      </c>
      <c r="CF992" s="3">
        <v>45940</v>
      </c>
      <c r="CI992">
        <v>1</v>
      </c>
      <c r="CJ992">
        <v>1</v>
      </c>
      <c r="CK992">
        <v>22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"080068395685"</f>
        <v>080068395685</v>
      </c>
      <c r="F993" s="3">
        <v>45938</v>
      </c>
      <c r="G993">
        <v>202607</v>
      </c>
      <c r="H993" t="s">
        <v>79</v>
      </c>
      <c r="I993" t="s">
        <v>80</v>
      </c>
      <c r="J993" t="s">
        <v>91</v>
      </c>
      <c r="K993" t="s">
        <v>78</v>
      </c>
      <c r="L993" t="s">
        <v>946</v>
      </c>
      <c r="M993" t="s">
        <v>947</v>
      </c>
      <c r="N993" t="s">
        <v>948</v>
      </c>
      <c r="O993" t="s">
        <v>82</v>
      </c>
      <c r="P993" t="str">
        <f>"4170063553                    "</f>
        <v xml:space="preserve">4170063553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43.31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137.47</v>
      </c>
      <c r="BM993">
        <v>20.62</v>
      </c>
      <c r="BN993">
        <v>158.09</v>
      </c>
      <c r="BO993">
        <v>158.09</v>
      </c>
      <c r="BQ993" t="s">
        <v>949</v>
      </c>
      <c r="BR993" t="s">
        <v>97</v>
      </c>
      <c r="BS993" s="3">
        <v>45939</v>
      </c>
      <c r="BT993" s="4">
        <v>0.59375</v>
      </c>
      <c r="BU993" t="s">
        <v>950</v>
      </c>
      <c r="BV993" t="s">
        <v>86</v>
      </c>
      <c r="BY993">
        <v>1200</v>
      </c>
      <c r="CA993" t="s">
        <v>951</v>
      </c>
      <c r="CC993" t="s">
        <v>947</v>
      </c>
      <c r="CD993">
        <v>6500</v>
      </c>
      <c r="CE993" t="s">
        <v>147</v>
      </c>
      <c r="CF993" s="3">
        <v>45939</v>
      </c>
      <c r="CI993">
        <v>1</v>
      </c>
      <c r="CJ993">
        <v>1</v>
      </c>
      <c r="CK993">
        <v>23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"080068395856"</f>
        <v>080068395856</v>
      </c>
      <c r="F994" s="3">
        <v>45938</v>
      </c>
      <c r="G994">
        <v>202607</v>
      </c>
      <c r="H994" t="s">
        <v>79</v>
      </c>
      <c r="I994" t="s">
        <v>80</v>
      </c>
      <c r="J994" t="s">
        <v>91</v>
      </c>
      <c r="K994" t="s">
        <v>78</v>
      </c>
      <c r="L994" t="s">
        <v>271</v>
      </c>
      <c r="M994" t="s">
        <v>272</v>
      </c>
      <c r="N994" t="s">
        <v>273</v>
      </c>
      <c r="O994" t="s">
        <v>82</v>
      </c>
      <c r="P994" t="str">
        <f>"4170063453                    "</f>
        <v xml:space="preserve">4170063453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17.46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</v>
      </c>
      <c r="BJ994">
        <v>1.7</v>
      </c>
      <c r="BK994">
        <v>3</v>
      </c>
      <c r="BL994">
        <v>55.42</v>
      </c>
      <c r="BM994">
        <v>8.31</v>
      </c>
      <c r="BN994">
        <v>63.73</v>
      </c>
      <c r="BO994">
        <v>63.73</v>
      </c>
      <c r="BQ994" t="s">
        <v>274</v>
      </c>
      <c r="BR994" t="s">
        <v>97</v>
      </c>
      <c r="BS994" s="3">
        <v>45939</v>
      </c>
      <c r="BT994" s="4">
        <v>0.32777777777777778</v>
      </c>
      <c r="BU994" t="s">
        <v>295</v>
      </c>
      <c r="BV994" t="s">
        <v>86</v>
      </c>
      <c r="BY994">
        <v>8512</v>
      </c>
      <c r="CA994" t="s">
        <v>661</v>
      </c>
      <c r="CC994" t="s">
        <v>272</v>
      </c>
      <c r="CD994">
        <v>1422</v>
      </c>
      <c r="CE994" t="s">
        <v>191</v>
      </c>
      <c r="CF994" s="3">
        <v>45940</v>
      </c>
      <c r="CI994">
        <v>1</v>
      </c>
      <c r="CJ994">
        <v>1</v>
      </c>
      <c r="CK994">
        <v>22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"080068395879"</f>
        <v>080068395879</v>
      </c>
      <c r="F995" s="3">
        <v>45938</v>
      </c>
      <c r="G995">
        <v>202607</v>
      </c>
      <c r="H995" t="s">
        <v>79</v>
      </c>
      <c r="I995" t="s">
        <v>80</v>
      </c>
      <c r="J995" t="s">
        <v>91</v>
      </c>
      <c r="K995" t="s">
        <v>78</v>
      </c>
      <c r="L995" t="s">
        <v>446</v>
      </c>
      <c r="M995" t="s">
        <v>447</v>
      </c>
      <c r="N995" t="s">
        <v>448</v>
      </c>
      <c r="O995" t="s">
        <v>82</v>
      </c>
      <c r="P995" t="str">
        <f>"4170062796                    "</f>
        <v xml:space="preserve">4170062796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43.31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0.6</v>
      </c>
      <c r="BK995">
        <v>1</v>
      </c>
      <c r="BL995">
        <v>137.47</v>
      </c>
      <c r="BM995">
        <v>20.62</v>
      </c>
      <c r="BN995">
        <v>158.09</v>
      </c>
      <c r="BO995">
        <v>158.09</v>
      </c>
      <c r="BQ995" t="s">
        <v>449</v>
      </c>
      <c r="BR995" t="s">
        <v>97</v>
      </c>
      <c r="BS995" s="3">
        <v>45939</v>
      </c>
      <c r="BT995" s="4">
        <v>0.49861111111111112</v>
      </c>
      <c r="BU995" t="s">
        <v>1537</v>
      </c>
      <c r="BV995" t="s">
        <v>86</v>
      </c>
      <c r="BY995">
        <v>3192</v>
      </c>
      <c r="CA995" t="s">
        <v>452</v>
      </c>
      <c r="CC995" t="s">
        <v>447</v>
      </c>
      <c r="CD995">
        <v>7130</v>
      </c>
      <c r="CE995" t="s">
        <v>191</v>
      </c>
      <c r="CF995" s="3">
        <v>45940</v>
      </c>
      <c r="CI995">
        <v>1</v>
      </c>
      <c r="CJ995">
        <v>1</v>
      </c>
      <c r="CK995">
        <v>23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"080068395893"</f>
        <v>080068395893</v>
      </c>
      <c r="F996" s="3">
        <v>45938</v>
      </c>
      <c r="G996">
        <v>202607</v>
      </c>
      <c r="H996" t="s">
        <v>79</v>
      </c>
      <c r="I996" t="s">
        <v>80</v>
      </c>
      <c r="J996" t="s">
        <v>91</v>
      </c>
      <c r="K996" t="s">
        <v>78</v>
      </c>
      <c r="L996" t="s">
        <v>121</v>
      </c>
      <c r="M996" t="s">
        <v>122</v>
      </c>
      <c r="N996" t="s">
        <v>133</v>
      </c>
      <c r="O996" t="s">
        <v>82</v>
      </c>
      <c r="P996" t="str">
        <f>"4170063450                    "</f>
        <v xml:space="preserve">4170063450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22.36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70.959999999999994</v>
      </c>
      <c r="BM996">
        <v>10.64</v>
      </c>
      <c r="BN996">
        <v>81.599999999999994</v>
      </c>
      <c r="BO996">
        <v>81.599999999999994</v>
      </c>
      <c r="BQ996" t="s">
        <v>134</v>
      </c>
      <c r="BR996" t="s">
        <v>97</v>
      </c>
      <c r="BS996" s="3">
        <v>45939</v>
      </c>
      <c r="BT996" s="4">
        <v>0.49444444444444446</v>
      </c>
      <c r="BU996" t="s">
        <v>1756</v>
      </c>
      <c r="BV996" t="s">
        <v>90</v>
      </c>
      <c r="BW996" t="s">
        <v>136</v>
      </c>
      <c r="BX996" t="s">
        <v>787</v>
      </c>
      <c r="BY996">
        <v>1200</v>
      </c>
      <c r="CA996" t="s">
        <v>742</v>
      </c>
      <c r="CC996" t="s">
        <v>122</v>
      </c>
      <c r="CD996">
        <v>4001</v>
      </c>
      <c r="CE996" t="s">
        <v>147</v>
      </c>
      <c r="CF996" s="3">
        <v>45940</v>
      </c>
      <c r="CI996">
        <v>1</v>
      </c>
      <c r="CJ996">
        <v>1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"080068395966"</f>
        <v>080068395966</v>
      </c>
      <c r="F997" s="3">
        <v>45938</v>
      </c>
      <c r="G997">
        <v>202607</v>
      </c>
      <c r="H997" t="s">
        <v>79</v>
      </c>
      <c r="I997" t="s">
        <v>80</v>
      </c>
      <c r="J997" t="s">
        <v>91</v>
      </c>
      <c r="K997" t="s">
        <v>78</v>
      </c>
      <c r="L997" t="s">
        <v>605</v>
      </c>
      <c r="M997" t="s">
        <v>606</v>
      </c>
      <c r="N997" t="s">
        <v>607</v>
      </c>
      <c r="O997" t="s">
        <v>82</v>
      </c>
      <c r="P997" t="str">
        <f>"4170063501                    "</f>
        <v xml:space="preserve">4170063501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43.31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137.47</v>
      </c>
      <c r="BM997">
        <v>20.62</v>
      </c>
      <c r="BN997">
        <v>158.09</v>
      </c>
      <c r="BO997">
        <v>158.09</v>
      </c>
      <c r="BQ997" t="s">
        <v>608</v>
      </c>
      <c r="BR997" t="s">
        <v>97</v>
      </c>
      <c r="BS997" s="3">
        <v>45939</v>
      </c>
      <c r="BT997" s="4">
        <v>0.32500000000000001</v>
      </c>
      <c r="BU997" t="s">
        <v>1705</v>
      </c>
      <c r="BV997" t="s">
        <v>86</v>
      </c>
      <c r="BY997">
        <v>1200</v>
      </c>
      <c r="CA997" t="s">
        <v>1143</v>
      </c>
      <c r="CC997" t="s">
        <v>606</v>
      </c>
      <c r="CD997">
        <v>1947</v>
      </c>
      <c r="CE997" t="s">
        <v>147</v>
      </c>
      <c r="CF997" s="3">
        <v>45939</v>
      </c>
      <c r="CI997">
        <v>1</v>
      </c>
      <c r="CJ997">
        <v>1</v>
      </c>
      <c r="CK997">
        <v>23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"080068395986"</f>
        <v>080068395986</v>
      </c>
      <c r="F998" s="3">
        <v>45938</v>
      </c>
      <c r="G998">
        <v>202607</v>
      </c>
      <c r="H998" t="s">
        <v>79</v>
      </c>
      <c r="I998" t="s">
        <v>80</v>
      </c>
      <c r="J998" t="s">
        <v>91</v>
      </c>
      <c r="K998" t="s">
        <v>78</v>
      </c>
      <c r="L998" t="s">
        <v>168</v>
      </c>
      <c r="M998" t="s">
        <v>169</v>
      </c>
      <c r="N998" t="s">
        <v>395</v>
      </c>
      <c r="O998" t="s">
        <v>82</v>
      </c>
      <c r="P998" t="str">
        <f>"4170063447                    "</f>
        <v xml:space="preserve">4170063447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22.36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70.959999999999994</v>
      </c>
      <c r="BM998">
        <v>10.64</v>
      </c>
      <c r="BN998">
        <v>81.599999999999994</v>
      </c>
      <c r="BO998">
        <v>81.599999999999994</v>
      </c>
      <c r="BQ998" t="s">
        <v>396</v>
      </c>
      <c r="BR998" t="s">
        <v>97</v>
      </c>
      <c r="BS998" s="3">
        <v>45939</v>
      </c>
      <c r="BT998" s="4">
        <v>0.38194444444444442</v>
      </c>
      <c r="BU998" t="s">
        <v>1757</v>
      </c>
      <c r="BV998" t="s">
        <v>86</v>
      </c>
      <c r="BY998">
        <v>1200</v>
      </c>
      <c r="CA998">
        <v>8303236124087</v>
      </c>
      <c r="CC998" t="s">
        <v>169</v>
      </c>
      <c r="CD998" s="5" t="s">
        <v>190</v>
      </c>
      <c r="CE998" t="s">
        <v>147</v>
      </c>
      <c r="CF998" s="3">
        <v>45939</v>
      </c>
      <c r="CI998">
        <v>1</v>
      </c>
      <c r="CJ998">
        <v>1</v>
      </c>
      <c r="CK998">
        <v>21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"080068396665"</f>
        <v>080068396665</v>
      </c>
      <c r="F999" s="3">
        <v>45938</v>
      </c>
      <c r="G999">
        <v>202607</v>
      </c>
      <c r="H999" t="s">
        <v>79</v>
      </c>
      <c r="I999" t="s">
        <v>80</v>
      </c>
      <c r="J999" t="s">
        <v>91</v>
      </c>
      <c r="K999" t="s">
        <v>78</v>
      </c>
      <c r="L999" t="s">
        <v>469</v>
      </c>
      <c r="M999" t="s">
        <v>470</v>
      </c>
      <c r="N999" t="s">
        <v>471</v>
      </c>
      <c r="O999" t="s">
        <v>82</v>
      </c>
      <c r="P999" t="str">
        <f>"4170063592                    "</f>
        <v xml:space="preserve">4170063592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43.31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137.47</v>
      </c>
      <c r="BM999">
        <v>20.62</v>
      </c>
      <c r="BN999">
        <v>158.09</v>
      </c>
      <c r="BO999">
        <v>158.09</v>
      </c>
      <c r="BQ999" t="s">
        <v>472</v>
      </c>
      <c r="BR999" t="s">
        <v>97</v>
      </c>
      <c r="BS999" s="3">
        <v>45939</v>
      </c>
      <c r="BT999" s="4">
        <v>0.49305555555555558</v>
      </c>
      <c r="BU999" t="s">
        <v>1724</v>
      </c>
      <c r="BV999" t="s">
        <v>86</v>
      </c>
      <c r="BY999">
        <v>1200</v>
      </c>
      <c r="CA999" t="s">
        <v>1725</v>
      </c>
      <c r="CC999" t="s">
        <v>470</v>
      </c>
      <c r="CD999">
        <v>7299</v>
      </c>
      <c r="CE999" t="s">
        <v>147</v>
      </c>
      <c r="CF999" s="3">
        <v>45940</v>
      </c>
      <c r="CI999">
        <v>1</v>
      </c>
      <c r="CJ999">
        <v>1</v>
      </c>
      <c r="CK999">
        <v>23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"080068396724"</f>
        <v>080068396724</v>
      </c>
      <c r="F1000" s="3">
        <v>45938</v>
      </c>
      <c r="G1000">
        <v>202607</v>
      </c>
      <c r="H1000" t="s">
        <v>79</v>
      </c>
      <c r="I1000" t="s">
        <v>80</v>
      </c>
      <c r="J1000" t="s">
        <v>91</v>
      </c>
      <c r="K1000" t="s">
        <v>78</v>
      </c>
      <c r="L1000" t="s">
        <v>114</v>
      </c>
      <c r="M1000" t="s">
        <v>115</v>
      </c>
      <c r="N1000" t="s">
        <v>746</v>
      </c>
      <c r="O1000" t="s">
        <v>82</v>
      </c>
      <c r="P1000" t="str">
        <f>"4170063551                    "</f>
        <v xml:space="preserve">4170063551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22.36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0.9</v>
      </c>
      <c r="BK1000">
        <v>1</v>
      </c>
      <c r="BL1000">
        <v>70.959999999999994</v>
      </c>
      <c r="BM1000">
        <v>10.64</v>
      </c>
      <c r="BN1000">
        <v>81.599999999999994</v>
      </c>
      <c r="BO1000">
        <v>81.599999999999994</v>
      </c>
      <c r="BQ1000" t="s">
        <v>747</v>
      </c>
      <c r="BR1000" t="s">
        <v>97</v>
      </c>
      <c r="BS1000" s="3">
        <v>45939</v>
      </c>
      <c r="BT1000" s="4">
        <v>0.51875000000000004</v>
      </c>
      <c r="BU1000" t="s">
        <v>748</v>
      </c>
      <c r="BV1000" t="s">
        <v>90</v>
      </c>
      <c r="BY1000">
        <v>4275</v>
      </c>
      <c r="CA1000" t="s">
        <v>749</v>
      </c>
      <c r="CC1000" t="s">
        <v>115</v>
      </c>
      <c r="CD1000">
        <v>5201</v>
      </c>
      <c r="CE1000" t="s">
        <v>191</v>
      </c>
      <c r="CF1000" s="3">
        <v>45940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"080068396729"</f>
        <v>080068396729</v>
      </c>
      <c r="F1001" s="3">
        <v>45938</v>
      </c>
      <c r="G1001">
        <v>202607</v>
      </c>
      <c r="H1001" t="s">
        <v>79</v>
      </c>
      <c r="I1001" t="s">
        <v>80</v>
      </c>
      <c r="J1001" t="s">
        <v>91</v>
      </c>
      <c r="K1001" t="s">
        <v>78</v>
      </c>
      <c r="L1001" t="s">
        <v>114</v>
      </c>
      <c r="M1001" t="s">
        <v>115</v>
      </c>
      <c r="N1001" t="s">
        <v>1758</v>
      </c>
      <c r="O1001" t="s">
        <v>82</v>
      </c>
      <c r="P1001" t="str">
        <f>"4170063518                    "</f>
        <v xml:space="preserve">4170063518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22.36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70.959999999999994</v>
      </c>
      <c r="BM1001">
        <v>10.64</v>
      </c>
      <c r="BN1001">
        <v>81.599999999999994</v>
      </c>
      <c r="BO1001">
        <v>81.599999999999994</v>
      </c>
      <c r="BQ1001" t="s">
        <v>1759</v>
      </c>
      <c r="BR1001" t="s">
        <v>97</v>
      </c>
      <c r="BS1001" s="3">
        <v>45939</v>
      </c>
      <c r="BT1001" s="4">
        <v>0.4909722222222222</v>
      </c>
      <c r="BU1001" t="s">
        <v>1760</v>
      </c>
      <c r="BV1001" t="s">
        <v>90</v>
      </c>
      <c r="BY1001">
        <v>1200</v>
      </c>
      <c r="CA1001" t="s">
        <v>119</v>
      </c>
      <c r="CC1001" t="s">
        <v>115</v>
      </c>
      <c r="CD1001">
        <v>5201</v>
      </c>
      <c r="CE1001" t="s">
        <v>147</v>
      </c>
      <c r="CF1001" s="3">
        <v>45940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"080068396780"</f>
        <v>080068396780</v>
      </c>
      <c r="F1002" s="3">
        <v>45938</v>
      </c>
      <c r="G1002">
        <v>202607</v>
      </c>
      <c r="H1002" t="s">
        <v>79</v>
      </c>
      <c r="I1002" t="s">
        <v>80</v>
      </c>
      <c r="J1002" t="s">
        <v>91</v>
      </c>
      <c r="K1002" t="s">
        <v>78</v>
      </c>
      <c r="L1002" t="s">
        <v>206</v>
      </c>
      <c r="M1002" t="s">
        <v>207</v>
      </c>
      <c r="N1002" t="s">
        <v>458</v>
      </c>
      <c r="O1002" t="s">
        <v>82</v>
      </c>
      <c r="P1002" t="str">
        <f>"4170063468                    "</f>
        <v xml:space="preserve">4170063468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22.36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70.959999999999994</v>
      </c>
      <c r="BM1002">
        <v>10.64</v>
      </c>
      <c r="BN1002">
        <v>81.599999999999994</v>
      </c>
      <c r="BO1002">
        <v>81.599999999999994</v>
      </c>
      <c r="BQ1002" t="s">
        <v>459</v>
      </c>
      <c r="BR1002" t="s">
        <v>97</v>
      </c>
      <c r="BS1002" s="3">
        <v>45939</v>
      </c>
      <c r="BT1002" s="4">
        <v>0.39027777777777778</v>
      </c>
      <c r="BU1002" t="s">
        <v>1396</v>
      </c>
      <c r="BV1002" t="s">
        <v>86</v>
      </c>
      <c r="BY1002">
        <v>1200</v>
      </c>
      <c r="CA1002" t="s">
        <v>461</v>
      </c>
      <c r="CC1002" t="s">
        <v>207</v>
      </c>
      <c r="CD1002">
        <v>7530</v>
      </c>
      <c r="CE1002" t="s">
        <v>147</v>
      </c>
      <c r="CF1002" s="3">
        <v>45940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"080068396787"</f>
        <v>080068396787</v>
      </c>
      <c r="F1003" s="3">
        <v>45938</v>
      </c>
      <c r="G1003">
        <v>202607</v>
      </c>
      <c r="H1003" t="s">
        <v>79</v>
      </c>
      <c r="I1003" t="s">
        <v>80</v>
      </c>
      <c r="J1003" t="s">
        <v>91</v>
      </c>
      <c r="K1003" t="s">
        <v>78</v>
      </c>
      <c r="L1003" t="s">
        <v>121</v>
      </c>
      <c r="M1003" t="s">
        <v>122</v>
      </c>
      <c r="N1003" t="s">
        <v>123</v>
      </c>
      <c r="O1003" t="s">
        <v>82</v>
      </c>
      <c r="P1003" t="str">
        <f>"4170063574                    "</f>
        <v xml:space="preserve">4170063574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55.86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5</v>
      </c>
      <c r="BJ1003">
        <v>1.8</v>
      </c>
      <c r="BK1003">
        <v>5</v>
      </c>
      <c r="BL1003">
        <v>177.3</v>
      </c>
      <c r="BM1003">
        <v>26.6</v>
      </c>
      <c r="BN1003">
        <v>203.9</v>
      </c>
      <c r="BO1003">
        <v>203.9</v>
      </c>
      <c r="BQ1003" t="s">
        <v>124</v>
      </c>
      <c r="BR1003" t="s">
        <v>97</v>
      </c>
      <c r="BS1003" s="3">
        <v>45939</v>
      </c>
      <c r="BT1003" s="4">
        <v>0.35833333333333334</v>
      </c>
      <c r="BU1003" t="s">
        <v>1611</v>
      </c>
      <c r="BV1003" t="s">
        <v>86</v>
      </c>
      <c r="BY1003">
        <v>8816</v>
      </c>
      <c r="CA1003" t="s">
        <v>126</v>
      </c>
      <c r="CC1003" t="s">
        <v>122</v>
      </c>
      <c r="CD1003">
        <v>4051</v>
      </c>
      <c r="CE1003" t="s">
        <v>1761</v>
      </c>
      <c r="CF1003" s="3">
        <v>45939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"080068396824"</f>
        <v>080068396824</v>
      </c>
      <c r="F1004" s="3">
        <v>45938</v>
      </c>
      <c r="G1004">
        <v>202607</v>
      </c>
      <c r="H1004" t="s">
        <v>79</v>
      </c>
      <c r="I1004" t="s">
        <v>80</v>
      </c>
      <c r="J1004" t="s">
        <v>91</v>
      </c>
      <c r="K1004" t="s">
        <v>78</v>
      </c>
      <c r="L1004" t="s">
        <v>206</v>
      </c>
      <c r="M1004" t="s">
        <v>207</v>
      </c>
      <c r="N1004" t="s">
        <v>458</v>
      </c>
      <c r="O1004" t="s">
        <v>82</v>
      </c>
      <c r="P1004" t="str">
        <f>"4170063467                    "</f>
        <v xml:space="preserve">4170063467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22.36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70.959999999999994</v>
      </c>
      <c r="BM1004">
        <v>10.64</v>
      </c>
      <c r="BN1004">
        <v>81.599999999999994</v>
      </c>
      <c r="BO1004">
        <v>81.599999999999994</v>
      </c>
      <c r="BQ1004" t="s">
        <v>459</v>
      </c>
      <c r="BR1004" t="s">
        <v>97</v>
      </c>
      <c r="BS1004" s="3">
        <v>45939</v>
      </c>
      <c r="BT1004" s="4">
        <v>0.39027777777777778</v>
      </c>
      <c r="BU1004" t="s">
        <v>1396</v>
      </c>
      <c r="BV1004" t="s">
        <v>86</v>
      </c>
      <c r="BY1004">
        <v>1200</v>
      </c>
      <c r="CA1004" t="s">
        <v>461</v>
      </c>
      <c r="CC1004" t="s">
        <v>207</v>
      </c>
      <c r="CD1004">
        <v>7530</v>
      </c>
      <c r="CE1004" t="s">
        <v>147</v>
      </c>
      <c r="CF1004" s="3">
        <v>45940</v>
      </c>
      <c r="CI1004">
        <v>1</v>
      </c>
      <c r="CJ1004">
        <v>1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"080068396833"</f>
        <v>080068396833</v>
      </c>
      <c r="F1005" s="3">
        <v>45938</v>
      </c>
      <c r="G1005">
        <v>202607</v>
      </c>
      <c r="H1005" t="s">
        <v>79</v>
      </c>
      <c r="I1005" t="s">
        <v>80</v>
      </c>
      <c r="J1005" t="s">
        <v>91</v>
      </c>
      <c r="K1005" t="s">
        <v>78</v>
      </c>
      <c r="L1005" t="s">
        <v>809</v>
      </c>
      <c r="M1005" t="s">
        <v>810</v>
      </c>
      <c r="N1005" t="s">
        <v>1762</v>
      </c>
      <c r="O1005" t="s">
        <v>82</v>
      </c>
      <c r="P1005" t="str">
        <f>"4170063458                    "</f>
        <v xml:space="preserve">4170063458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17.46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4</v>
      </c>
      <c r="BJ1005">
        <v>1.9</v>
      </c>
      <c r="BK1005">
        <v>4</v>
      </c>
      <c r="BL1005">
        <v>55.42</v>
      </c>
      <c r="BM1005">
        <v>8.31</v>
      </c>
      <c r="BN1005">
        <v>63.73</v>
      </c>
      <c r="BO1005">
        <v>63.73</v>
      </c>
      <c r="BQ1005" t="s">
        <v>1763</v>
      </c>
      <c r="BR1005" t="s">
        <v>97</v>
      </c>
      <c r="BS1005" s="3">
        <v>45939</v>
      </c>
      <c r="BT1005" s="4">
        <v>0.35833333333333334</v>
      </c>
      <c r="BU1005" t="s">
        <v>511</v>
      </c>
      <c r="BV1005" t="s">
        <v>86</v>
      </c>
      <c r="BY1005">
        <v>9367</v>
      </c>
      <c r="CA1005" t="s">
        <v>1356</v>
      </c>
      <c r="CC1005" t="s">
        <v>810</v>
      </c>
      <c r="CD1005">
        <v>1709</v>
      </c>
      <c r="CE1005" t="s">
        <v>191</v>
      </c>
      <c r="CF1005" s="3">
        <v>45939</v>
      </c>
      <c r="CI1005">
        <v>1</v>
      </c>
      <c r="CJ1005">
        <v>1</v>
      </c>
      <c r="CK1005">
        <v>22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"080068396846"</f>
        <v>080068396846</v>
      </c>
      <c r="F1006" s="3">
        <v>45938</v>
      </c>
      <c r="G1006">
        <v>202607</v>
      </c>
      <c r="H1006" t="s">
        <v>79</v>
      </c>
      <c r="I1006" t="s">
        <v>80</v>
      </c>
      <c r="J1006" t="s">
        <v>91</v>
      </c>
      <c r="K1006" t="s">
        <v>78</v>
      </c>
      <c r="L1006" t="s">
        <v>206</v>
      </c>
      <c r="M1006" t="s">
        <v>207</v>
      </c>
      <c r="N1006" t="s">
        <v>458</v>
      </c>
      <c r="O1006" t="s">
        <v>82</v>
      </c>
      <c r="P1006" t="str">
        <f>"4170063470                    "</f>
        <v xml:space="preserve">4170063470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22.36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70.959999999999994</v>
      </c>
      <c r="BM1006">
        <v>10.64</v>
      </c>
      <c r="BN1006">
        <v>81.599999999999994</v>
      </c>
      <c r="BO1006">
        <v>81.599999999999994</v>
      </c>
      <c r="BQ1006" t="s">
        <v>459</v>
      </c>
      <c r="BR1006" t="s">
        <v>97</v>
      </c>
      <c r="BS1006" s="3">
        <v>45939</v>
      </c>
      <c r="BT1006" s="4">
        <v>0.39027777777777778</v>
      </c>
      <c r="BU1006" t="s">
        <v>1396</v>
      </c>
      <c r="BV1006" t="s">
        <v>86</v>
      </c>
      <c r="BY1006">
        <v>1200</v>
      </c>
      <c r="CA1006" t="s">
        <v>461</v>
      </c>
      <c r="CC1006" t="s">
        <v>207</v>
      </c>
      <c r="CD1006">
        <v>7535</v>
      </c>
      <c r="CE1006" t="s">
        <v>147</v>
      </c>
      <c r="CF1006" s="3">
        <v>45940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"080068396864"</f>
        <v>080068396864</v>
      </c>
      <c r="F1007" s="3">
        <v>45938</v>
      </c>
      <c r="G1007">
        <v>202607</v>
      </c>
      <c r="H1007" t="s">
        <v>79</v>
      </c>
      <c r="I1007" t="s">
        <v>80</v>
      </c>
      <c r="J1007" t="s">
        <v>91</v>
      </c>
      <c r="K1007" t="s">
        <v>78</v>
      </c>
      <c r="L1007" t="s">
        <v>853</v>
      </c>
      <c r="M1007" t="s">
        <v>854</v>
      </c>
      <c r="N1007" t="s">
        <v>855</v>
      </c>
      <c r="O1007" t="s">
        <v>82</v>
      </c>
      <c r="P1007" t="str">
        <f>"4170063485                    "</f>
        <v xml:space="preserve">4170063485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22.36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1.8</v>
      </c>
      <c r="BK1007">
        <v>2</v>
      </c>
      <c r="BL1007">
        <v>70.959999999999994</v>
      </c>
      <c r="BM1007">
        <v>10.64</v>
      </c>
      <c r="BN1007">
        <v>81.599999999999994</v>
      </c>
      <c r="BO1007">
        <v>81.599999999999994</v>
      </c>
      <c r="BQ1007" t="s">
        <v>856</v>
      </c>
      <c r="BR1007" t="s">
        <v>97</v>
      </c>
      <c r="BS1007" s="3">
        <v>45939</v>
      </c>
      <c r="BT1007" s="4">
        <v>0.41875000000000001</v>
      </c>
      <c r="BU1007" t="s">
        <v>1764</v>
      </c>
      <c r="BV1007" t="s">
        <v>86</v>
      </c>
      <c r="BY1007">
        <v>8816</v>
      </c>
      <c r="CA1007" t="s">
        <v>859</v>
      </c>
      <c r="CC1007" t="s">
        <v>854</v>
      </c>
      <c r="CD1007">
        <v>4120</v>
      </c>
      <c r="CE1007" t="s">
        <v>191</v>
      </c>
      <c r="CF1007" s="3">
        <v>45939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"080068396872"</f>
        <v>080068396872</v>
      </c>
      <c r="F1008" s="3">
        <v>45938</v>
      </c>
      <c r="G1008">
        <v>202607</v>
      </c>
      <c r="H1008" t="s">
        <v>79</v>
      </c>
      <c r="I1008" t="s">
        <v>80</v>
      </c>
      <c r="J1008" t="s">
        <v>91</v>
      </c>
      <c r="K1008" t="s">
        <v>78</v>
      </c>
      <c r="L1008" t="s">
        <v>206</v>
      </c>
      <c r="M1008" t="s">
        <v>207</v>
      </c>
      <c r="N1008" t="s">
        <v>458</v>
      </c>
      <c r="O1008" t="s">
        <v>82</v>
      </c>
      <c r="P1008" t="str">
        <f>"4170063465                    "</f>
        <v xml:space="preserve">4170063465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22.36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70.959999999999994</v>
      </c>
      <c r="BM1008">
        <v>10.64</v>
      </c>
      <c r="BN1008">
        <v>81.599999999999994</v>
      </c>
      <c r="BO1008">
        <v>81.599999999999994</v>
      </c>
      <c r="BQ1008" t="s">
        <v>459</v>
      </c>
      <c r="BR1008" t="s">
        <v>97</v>
      </c>
      <c r="BS1008" s="3">
        <v>45939</v>
      </c>
      <c r="BT1008" s="4">
        <v>0.39027777777777778</v>
      </c>
      <c r="BU1008" t="s">
        <v>1396</v>
      </c>
      <c r="BV1008" t="s">
        <v>86</v>
      </c>
      <c r="BY1008">
        <v>1200</v>
      </c>
      <c r="CA1008" t="s">
        <v>461</v>
      </c>
      <c r="CC1008" t="s">
        <v>207</v>
      </c>
      <c r="CD1008">
        <v>7535</v>
      </c>
      <c r="CE1008" t="s">
        <v>147</v>
      </c>
      <c r="CF1008" s="3">
        <v>45940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"080068396905"</f>
        <v>080068396905</v>
      </c>
      <c r="F1009" s="3">
        <v>45938</v>
      </c>
      <c r="G1009">
        <v>202607</v>
      </c>
      <c r="H1009" t="s">
        <v>79</v>
      </c>
      <c r="I1009" t="s">
        <v>80</v>
      </c>
      <c r="J1009" t="s">
        <v>91</v>
      </c>
      <c r="K1009" t="s">
        <v>78</v>
      </c>
      <c r="L1009" t="s">
        <v>1765</v>
      </c>
      <c r="M1009" t="s">
        <v>1766</v>
      </c>
      <c r="N1009" t="s">
        <v>1767</v>
      </c>
      <c r="O1009" t="s">
        <v>82</v>
      </c>
      <c r="P1009" t="str">
        <f>"4170063612                    "</f>
        <v xml:space="preserve">4170063612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43.31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0.9</v>
      </c>
      <c r="BJ1009">
        <v>0.6</v>
      </c>
      <c r="BK1009">
        <v>1</v>
      </c>
      <c r="BL1009">
        <v>137.47</v>
      </c>
      <c r="BM1009">
        <v>20.62</v>
      </c>
      <c r="BN1009">
        <v>158.09</v>
      </c>
      <c r="BO1009">
        <v>158.09</v>
      </c>
      <c r="BQ1009" t="s">
        <v>1768</v>
      </c>
      <c r="BR1009" t="s">
        <v>97</v>
      </c>
      <c r="BS1009" s="3">
        <v>45939</v>
      </c>
      <c r="BT1009" s="4">
        <v>0.44513888888888886</v>
      </c>
      <c r="BU1009" t="s">
        <v>1769</v>
      </c>
      <c r="BV1009" t="s">
        <v>90</v>
      </c>
      <c r="BY1009">
        <v>2988.9</v>
      </c>
      <c r="CA1009" t="s">
        <v>1770</v>
      </c>
      <c r="CC1009" t="s">
        <v>1766</v>
      </c>
      <c r="CD1009">
        <v>1035</v>
      </c>
      <c r="CE1009" t="s">
        <v>147</v>
      </c>
      <c r="CF1009" s="3">
        <v>45940</v>
      </c>
      <c r="CI1009">
        <v>1</v>
      </c>
      <c r="CJ1009">
        <v>1</v>
      </c>
      <c r="CK1009">
        <v>23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"080068396908"</f>
        <v>080068396908</v>
      </c>
      <c r="F1010" s="3">
        <v>45938</v>
      </c>
      <c r="G1010">
        <v>202607</v>
      </c>
      <c r="H1010" t="s">
        <v>79</v>
      </c>
      <c r="I1010" t="s">
        <v>80</v>
      </c>
      <c r="J1010" t="s">
        <v>91</v>
      </c>
      <c r="K1010" t="s">
        <v>78</v>
      </c>
      <c r="L1010" t="s">
        <v>322</v>
      </c>
      <c r="M1010" t="s">
        <v>322</v>
      </c>
      <c r="N1010" t="s">
        <v>481</v>
      </c>
      <c r="O1010" t="s">
        <v>82</v>
      </c>
      <c r="P1010" t="str">
        <f>"4170063541                    "</f>
        <v xml:space="preserve">4170063541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43.31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2</v>
      </c>
      <c r="BJ1010">
        <v>0.6</v>
      </c>
      <c r="BK1010">
        <v>2</v>
      </c>
      <c r="BL1010">
        <v>137.47</v>
      </c>
      <c r="BM1010">
        <v>20.62</v>
      </c>
      <c r="BN1010">
        <v>158.09</v>
      </c>
      <c r="BO1010">
        <v>158.09</v>
      </c>
      <c r="BQ1010" t="s">
        <v>482</v>
      </c>
      <c r="BR1010" t="s">
        <v>97</v>
      </c>
      <c r="BS1010" s="3">
        <v>45939</v>
      </c>
      <c r="BT1010" s="4">
        <v>0.44722222222222224</v>
      </c>
      <c r="BU1010" t="s">
        <v>1771</v>
      </c>
      <c r="BV1010" t="s">
        <v>86</v>
      </c>
      <c r="BY1010">
        <v>3192</v>
      </c>
      <c r="CA1010" t="s">
        <v>1637</v>
      </c>
      <c r="CC1010" t="s">
        <v>322</v>
      </c>
      <c r="CD1010">
        <v>7646</v>
      </c>
      <c r="CE1010" t="s">
        <v>191</v>
      </c>
      <c r="CF1010" s="3">
        <v>45940</v>
      </c>
      <c r="CI1010">
        <v>1</v>
      </c>
      <c r="CJ1010">
        <v>1</v>
      </c>
      <c r="CK1010">
        <v>23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"080068396949"</f>
        <v>080068396949</v>
      </c>
      <c r="F1011" s="3">
        <v>45938</v>
      </c>
      <c r="G1011">
        <v>202607</v>
      </c>
      <c r="H1011" t="s">
        <v>79</v>
      </c>
      <c r="I1011" t="s">
        <v>80</v>
      </c>
      <c r="J1011" t="s">
        <v>91</v>
      </c>
      <c r="K1011" t="s">
        <v>78</v>
      </c>
      <c r="L1011" t="s">
        <v>92</v>
      </c>
      <c r="M1011" t="s">
        <v>93</v>
      </c>
      <c r="N1011" t="s">
        <v>597</v>
      </c>
      <c r="O1011" t="s">
        <v>82</v>
      </c>
      <c r="P1011" t="str">
        <f>"4170063506                    "</f>
        <v xml:space="preserve">4170063506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22.36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70.959999999999994</v>
      </c>
      <c r="BM1011">
        <v>10.64</v>
      </c>
      <c r="BN1011">
        <v>81.599999999999994</v>
      </c>
      <c r="BO1011">
        <v>81.599999999999994</v>
      </c>
      <c r="BQ1011" t="s">
        <v>598</v>
      </c>
      <c r="BR1011" t="s">
        <v>97</v>
      </c>
      <c r="BS1011" s="3">
        <v>45939</v>
      </c>
      <c r="BT1011" s="4">
        <v>0.42083333333333334</v>
      </c>
      <c r="BU1011" t="s">
        <v>1772</v>
      </c>
      <c r="BV1011" t="s">
        <v>86</v>
      </c>
      <c r="BY1011">
        <v>1200</v>
      </c>
      <c r="CA1011" t="s">
        <v>1773</v>
      </c>
      <c r="CC1011" t="s">
        <v>93</v>
      </c>
      <c r="CD1011">
        <v>3201</v>
      </c>
      <c r="CE1011" t="s">
        <v>147</v>
      </c>
      <c r="CF1011" s="3">
        <v>45940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"080068396971"</f>
        <v>080068396971</v>
      </c>
      <c r="F1012" s="3">
        <v>45938</v>
      </c>
      <c r="G1012">
        <v>202607</v>
      </c>
      <c r="H1012" t="s">
        <v>79</v>
      </c>
      <c r="I1012" t="s">
        <v>80</v>
      </c>
      <c r="J1012" t="s">
        <v>91</v>
      </c>
      <c r="K1012" t="s">
        <v>78</v>
      </c>
      <c r="L1012" t="s">
        <v>206</v>
      </c>
      <c r="M1012" t="s">
        <v>207</v>
      </c>
      <c r="N1012" t="s">
        <v>1129</v>
      </c>
      <c r="O1012" t="s">
        <v>82</v>
      </c>
      <c r="P1012" t="str">
        <f>"4170063498                    "</f>
        <v xml:space="preserve">4170063498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22.36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1.4</v>
      </c>
      <c r="BK1012">
        <v>1.5</v>
      </c>
      <c r="BL1012">
        <v>70.959999999999994</v>
      </c>
      <c r="BM1012">
        <v>10.64</v>
      </c>
      <c r="BN1012">
        <v>81.599999999999994</v>
      </c>
      <c r="BO1012">
        <v>81.599999999999994</v>
      </c>
      <c r="BQ1012" t="s">
        <v>1130</v>
      </c>
      <c r="BR1012" t="s">
        <v>97</v>
      </c>
      <c r="BS1012" s="3">
        <v>45943</v>
      </c>
      <c r="BT1012" s="4">
        <v>0.5854166666666667</v>
      </c>
      <c r="BU1012" t="s">
        <v>554</v>
      </c>
      <c r="BV1012" t="s">
        <v>90</v>
      </c>
      <c r="BY1012">
        <v>7000</v>
      </c>
      <c r="CA1012" t="s">
        <v>555</v>
      </c>
      <c r="CC1012" t="s">
        <v>207</v>
      </c>
      <c r="CD1012">
        <v>8000</v>
      </c>
      <c r="CE1012" t="s">
        <v>191</v>
      </c>
      <c r="CI1012">
        <v>1</v>
      </c>
      <c r="CJ1012">
        <v>3</v>
      </c>
      <c r="CK1012">
        <v>21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"080068396991"</f>
        <v>080068396991</v>
      </c>
      <c r="F1013" s="3">
        <v>45938</v>
      </c>
      <c r="G1013">
        <v>202607</v>
      </c>
      <c r="H1013" t="s">
        <v>79</v>
      </c>
      <c r="I1013" t="s">
        <v>80</v>
      </c>
      <c r="J1013" t="s">
        <v>91</v>
      </c>
      <c r="K1013" t="s">
        <v>78</v>
      </c>
      <c r="L1013" t="s">
        <v>108</v>
      </c>
      <c r="M1013" t="s">
        <v>109</v>
      </c>
      <c r="N1013" t="s">
        <v>315</v>
      </c>
      <c r="O1013" t="s">
        <v>82</v>
      </c>
      <c r="P1013" t="str">
        <f>"4170063499                    "</f>
        <v xml:space="preserve">4170063499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22.36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70.959999999999994</v>
      </c>
      <c r="BM1013">
        <v>10.64</v>
      </c>
      <c r="BN1013">
        <v>81.599999999999994</v>
      </c>
      <c r="BO1013">
        <v>81.599999999999994</v>
      </c>
      <c r="BQ1013" t="s">
        <v>1351</v>
      </c>
      <c r="BR1013" t="s">
        <v>97</v>
      </c>
      <c r="BS1013" s="3">
        <v>45939</v>
      </c>
      <c r="BT1013" s="4">
        <v>0.31736111111111109</v>
      </c>
      <c r="BU1013" t="s">
        <v>1774</v>
      </c>
      <c r="BV1013" t="s">
        <v>86</v>
      </c>
      <c r="BY1013">
        <v>1200</v>
      </c>
      <c r="CA1013" t="s">
        <v>1137</v>
      </c>
      <c r="CC1013" t="s">
        <v>109</v>
      </c>
      <c r="CD1013">
        <v>6045</v>
      </c>
      <c r="CE1013" t="s">
        <v>147</v>
      </c>
      <c r="CF1013" s="3">
        <v>45939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"080068397006"</f>
        <v>080068397006</v>
      </c>
      <c r="F1014" s="3">
        <v>45938</v>
      </c>
      <c r="G1014">
        <v>202607</v>
      </c>
      <c r="H1014" t="s">
        <v>79</v>
      </c>
      <c r="I1014" t="s">
        <v>80</v>
      </c>
      <c r="J1014" t="s">
        <v>91</v>
      </c>
      <c r="K1014" t="s">
        <v>78</v>
      </c>
      <c r="L1014" t="s">
        <v>763</v>
      </c>
      <c r="M1014" t="s">
        <v>764</v>
      </c>
      <c r="N1014" t="s">
        <v>765</v>
      </c>
      <c r="O1014" t="s">
        <v>82</v>
      </c>
      <c r="P1014" t="str">
        <f>"4170063491                    "</f>
        <v xml:space="preserve">4170063491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43.31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1.9</v>
      </c>
      <c r="BK1014">
        <v>2</v>
      </c>
      <c r="BL1014">
        <v>137.47</v>
      </c>
      <c r="BM1014">
        <v>20.62</v>
      </c>
      <c r="BN1014">
        <v>158.09</v>
      </c>
      <c r="BO1014">
        <v>158.09</v>
      </c>
      <c r="BQ1014" t="s">
        <v>766</v>
      </c>
      <c r="BR1014" t="s">
        <v>97</v>
      </c>
      <c r="BS1014" s="3">
        <v>45939</v>
      </c>
      <c r="BT1014" s="4">
        <v>0.38958333333333334</v>
      </c>
      <c r="BU1014" t="s">
        <v>1653</v>
      </c>
      <c r="BV1014" t="s">
        <v>86</v>
      </c>
      <c r="BY1014">
        <v>9367</v>
      </c>
      <c r="CA1014" t="s">
        <v>1654</v>
      </c>
      <c r="CC1014" t="s">
        <v>764</v>
      </c>
      <c r="CD1014">
        <v>2531</v>
      </c>
      <c r="CE1014" t="s">
        <v>191</v>
      </c>
      <c r="CF1014" s="3">
        <v>45940</v>
      </c>
      <c r="CI1014">
        <v>1</v>
      </c>
      <c r="CJ1014">
        <v>1</v>
      </c>
      <c r="CK1014">
        <v>23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"080068397014"</f>
        <v>080068397014</v>
      </c>
      <c r="F1015" s="3">
        <v>45938</v>
      </c>
      <c r="G1015">
        <v>202607</v>
      </c>
      <c r="H1015" t="s">
        <v>79</v>
      </c>
      <c r="I1015" t="s">
        <v>80</v>
      </c>
      <c r="J1015" t="s">
        <v>91</v>
      </c>
      <c r="K1015" t="s">
        <v>78</v>
      </c>
      <c r="L1015" t="s">
        <v>79</v>
      </c>
      <c r="M1015" t="s">
        <v>80</v>
      </c>
      <c r="N1015" t="s">
        <v>1040</v>
      </c>
      <c r="O1015" t="s">
        <v>82</v>
      </c>
      <c r="P1015" t="str">
        <f>"4170063631                    "</f>
        <v xml:space="preserve">4170063631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17.46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55.42</v>
      </c>
      <c r="BM1015">
        <v>8.31</v>
      </c>
      <c r="BN1015">
        <v>63.73</v>
      </c>
      <c r="BO1015">
        <v>63.73</v>
      </c>
      <c r="BQ1015" t="s">
        <v>1041</v>
      </c>
      <c r="BR1015" t="s">
        <v>97</v>
      </c>
      <c r="BS1015" s="3">
        <v>45939</v>
      </c>
      <c r="BT1015" s="4">
        <v>0.29166666666666669</v>
      </c>
      <c r="BU1015" t="s">
        <v>1662</v>
      </c>
      <c r="BV1015" t="s">
        <v>86</v>
      </c>
      <c r="BY1015">
        <v>1200</v>
      </c>
      <c r="CA1015" t="s">
        <v>166</v>
      </c>
      <c r="CC1015" t="s">
        <v>80</v>
      </c>
      <c r="CD1015">
        <v>1600</v>
      </c>
      <c r="CE1015" t="s">
        <v>147</v>
      </c>
      <c r="CF1015" s="3">
        <v>45939</v>
      </c>
      <c r="CI1015">
        <v>1</v>
      </c>
      <c r="CJ1015">
        <v>1</v>
      </c>
      <c r="CK1015">
        <v>22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"080068397038"</f>
        <v>080068397038</v>
      </c>
      <c r="F1016" s="3">
        <v>45938</v>
      </c>
      <c r="G1016">
        <v>202607</v>
      </c>
      <c r="H1016" t="s">
        <v>79</v>
      </c>
      <c r="I1016" t="s">
        <v>80</v>
      </c>
      <c r="J1016" t="s">
        <v>91</v>
      </c>
      <c r="K1016" t="s">
        <v>78</v>
      </c>
      <c r="L1016" t="s">
        <v>148</v>
      </c>
      <c r="M1016" t="s">
        <v>149</v>
      </c>
      <c r="N1016" t="s">
        <v>497</v>
      </c>
      <c r="O1016" t="s">
        <v>82</v>
      </c>
      <c r="P1016" t="str">
        <f>"4170063630                    "</f>
        <v xml:space="preserve">4170063630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17.46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16.739999999999998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72.16</v>
      </c>
      <c r="BM1016">
        <v>10.82</v>
      </c>
      <c r="BN1016">
        <v>82.98</v>
      </c>
      <c r="BO1016">
        <v>82.98</v>
      </c>
      <c r="BQ1016" t="s">
        <v>498</v>
      </c>
      <c r="BR1016" t="s">
        <v>97</v>
      </c>
      <c r="BS1016" s="3">
        <v>45939</v>
      </c>
      <c r="BT1016" s="4">
        <v>0.40277777777777779</v>
      </c>
      <c r="BU1016" t="s">
        <v>499</v>
      </c>
      <c r="BV1016" t="s">
        <v>86</v>
      </c>
      <c r="BY1016">
        <v>1200</v>
      </c>
      <c r="BZ1016" t="s">
        <v>30</v>
      </c>
      <c r="CA1016" t="s">
        <v>501</v>
      </c>
      <c r="CC1016" t="s">
        <v>149</v>
      </c>
      <c r="CD1016">
        <v>2188</v>
      </c>
      <c r="CE1016" t="s">
        <v>147</v>
      </c>
      <c r="CF1016" s="3">
        <v>45940</v>
      </c>
      <c r="CI1016">
        <v>1</v>
      </c>
      <c r="CJ1016">
        <v>1</v>
      </c>
      <c r="CK1016">
        <v>22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"080068397042"</f>
        <v>080068397042</v>
      </c>
      <c r="F1017" s="3">
        <v>45938</v>
      </c>
      <c r="G1017">
        <v>202607</v>
      </c>
      <c r="H1017" t="s">
        <v>79</v>
      </c>
      <c r="I1017" t="s">
        <v>80</v>
      </c>
      <c r="J1017" t="s">
        <v>91</v>
      </c>
      <c r="K1017" t="s">
        <v>78</v>
      </c>
      <c r="L1017" t="s">
        <v>206</v>
      </c>
      <c r="M1017" t="s">
        <v>207</v>
      </c>
      <c r="N1017" t="s">
        <v>656</v>
      </c>
      <c r="O1017" t="s">
        <v>82</v>
      </c>
      <c r="P1017" t="str">
        <f>"4170063189                    "</f>
        <v xml:space="preserve">4170063189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22.36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0.9</v>
      </c>
      <c r="BK1017">
        <v>1</v>
      </c>
      <c r="BL1017">
        <v>70.959999999999994</v>
      </c>
      <c r="BM1017">
        <v>10.64</v>
      </c>
      <c r="BN1017">
        <v>81.599999999999994</v>
      </c>
      <c r="BO1017">
        <v>81.599999999999994</v>
      </c>
      <c r="BQ1017" t="s">
        <v>657</v>
      </c>
      <c r="BR1017" t="s">
        <v>97</v>
      </c>
      <c r="BS1017" s="3">
        <v>45939</v>
      </c>
      <c r="BT1017" s="4">
        <v>0.39930555555555558</v>
      </c>
      <c r="BU1017" t="s">
        <v>658</v>
      </c>
      <c r="BV1017" t="s">
        <v>86</v>
      </c>
      <c r="BY1017">
        <v>4560</v>
      </c>
      <c r="CA1017" t="s">
        <v>211</v>
      </c>
      <c r="CC1017" t="s">
        <v>207</v>
      </c>
      <c r="CD1017">
        <v>7441</v>
      </c>
      <c r="CE1017" t="s">
        <v>191</v>
      </c>
      <c r="CF1017" s="3">
        <v>45940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"080068397062"</f>
        <v>080068397062</v>
      </c>
      <c r="F1018" s="3">
        <v>45938</v>
      </c>
      <c r="G1018">
        <v>202607</v>
      </c>
      <c r="H1018" t="s">
        <v>79</v>
      </c>
      <c r="I1018" t="s">
        <v>80</v>
      </c>
      <c r="J1018" t="s">
        <v>91</v>
      </c>
      <c r="K1018" t="s">
        <v>78</v>
      </c>
      <c r="L1018" t="s">
        <v>121</v>
      </c>
      <c r="M1018" t="s">
        <v>122</v>
      </c>
      <c r="N1018" t="s">
        <v>707</v>
      </c>
      <c r="O1018" t="s">
        <v>82</v>
      </c>
      <c r="P1018" t="str">
        <f>"4170063623                    "</f>
        <v xml:space="preserve">4170063623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22.36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70.959999999999994</v>
      </c>
      <c r="BM1018">
        <v>10.64</v>
      </c>
      <c r="BN1018">
        <v>81.599999999999994</v>
      </c>
      <c r="BO1018">
        <v>81.599999999999994</v>
      </c>
      <c r="BQ1018" t="s">
        <v>708</v>
      </c>
      <c r="BR1018" t="s">
        <v>97</v>
      </c>
      <c r="BS1018" s="3">
        <v>45939</v>
      </c>
      <c r="BT1018" s="4">
        <v>0.42777777777777776</v>
      </c>
      <c r="BU1018" t="s">
        <v>1630</v>
      </c>
      <c r="BV1018" t="s">
        <v>86</v>
      </c>
      <c r="BY1018">
        <v>1200</v>
      </c>
      <c r="CA1018" t="s">
        <v>651</v>
      </c>
      <c r="CC1018" t="s">
        <v>122</v>
      </c>
      <c r="CD1018">
        <v>4001</v>
      </c>
      <c r="CE1018" t="s">
        <v>147</v>
      </c>
      <c r="CF1018" s="3">
        <v>45940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"080068397078"</f>
        <v>080068397078</v>
      </c>
      <c r="F1019" s="3">
        <v>45938</v>
      </c>
      <c r="G1019">
        <v>202607</v>
      </c>
      <c r="H1019" t="s">
        <v>79</v>
      </c>
      <c r="I1019" t="s">
        <v>80</v>
      </c>
      <c r="J1019" t="s">
        <v>91</v>
      </c>
      <c r="K1019" t="s">
        <v>78</v>
      </c>
      <c r="L1019" t="s">
        <v>108</v>
      </c>
      <c r="M1019" t="s">
        <v>109</v>
      </c>
      <c r="N1019" t="s">
        <v>515</v>
      </c>
      <c r="O1019" t="s">
        <v>95</v>
      </c>
      <c r="P1019" t="str">
        <f>"4170063633                    "</f>
        <v xml:space="preserve">4170063633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43.23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5</v>
      </c>
      <c r="BJ1019">
        <v>2.6</v>
      </c>
      <c r="BK1019">
        <v>5</v>
      </c>
      <c r="BL1019">
        <v>143.08000000000001</v>
      </c>
      <c r="BM1019">
        <v>21.46</v>
      </c>
      <c r="BN1019">
        <v>164.54</v>
      </c>
      <c r="BO1019">
        <v>164.54</v>
      </c>
      <c r="BQ1019" t="s">
        <v>516</v>
      </c>
      <c r="BR1019" t="s">
        <v>97</v>
      </c>
      <c r="BS1019" s="3">
        <v>45940</v>
      </c>
      <c r="BT1019" s="4">
        <v>0.4513888888888889</v>
      </c>
      <c r="BU1019" t="s">
        <v>1580</v>
      </c>
      <c r="BV1019" t="s">
        <v>86</v>
      </c>
      <c r="BY1019">
        <v>13224</v>
      </c>
      <c r="CC1019" t="s">
        <v>109</v>
      </c>
      <c r="CD1019">
        <v>6001</v>
      </c>
      <c r="CE1019" t="s">
        <v>931</v>
      </c>
      <c r="CF1019" s="3">
        <v>45940</v>
      </c>
      <c r="CI1019">
        <v>3</v>
      </c>
      <c r="CJ1019">
        <v>2</v>
      </c>
      <c r="CK1019">
        <v>41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"080068397115"</f>
        <v>080068397115</v>
      </c>
      <c r="F1020" s="3">
        <v>45938</v>
      </c>
      <c r="G1020">
        <v>202607</v>
      </c>
      <c r="H1020" t="s">
        <v>79</v>
      </c>
      <c r="I1020" t="s">
        <v>80</v>
      </c>
      <c r="J1020" t="s">
        <v>91</v>
      </c>
      <c r="K1020" t="s">
        <v>78</v>
      </c>
      <c r="L1020" t="s">
        <v>453</v>
      </c>
      <c r="M1020" t="s">
        <v>454</v>
      </c>
      <c r="N1020" t="s">
        <v>639</v>
      </c>
      <c r="O1020" t="s">
        <v>82</v>
      </c>
      <c r="P1020" t="str">
        <f>"4170062835                    "</f>
        <v xml:space="preserve">4170062835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67.03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6</v>
      </c>
      <c r="BJ1020">
        <v>2.2999999999999998</v>
      </c>
      <c r="BK1020">
        <v>6</v>
      </c>
      <c r="BL1020">
        <v>212.75</v>
      </c>
      <c r="BM1020">
        <v>31.91</v>
      </c>
      <c r="BN1020">
        <v>244.66</v>
      </c>
      <c r="BO1020">
        <v>244.66</v>
      </c>
      <c r="BQ1020" t="s">
        <v>640</v>
      </c>
      <c r="BR1020" t="s">
        <v>97</v>
      </c>
      <c r="BS1020" s="3">
        <v>45939</v>
      </c>
      <c r="BT1020" s="4">
        <v>0.43472222222222223</v>
      </c>
      <c r="BU1020" t="s">
        <v>641</v>
      </c>
      <c r="BV1020" t="s">
        <v>86</v>
      </c>
      <c r="BY1020">
        <v>11368</v>
      </c>
      <c r="CA1020" t="s">
        <v>457</v>
      </c>
      <c r="CC1020" t="s">
        <v>454</v>
      </c>
      <c r="CD1020">
        <v>3610</v>
      </c>
      <c r="CE1020" t="s">
        <v>107</v>
      </c>
      <c r="CF1020" s="3">
        <v>45939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"080068397185"</f>
        <v>080068397185</v>
      </c>
      <c r="F1021" s="3">
        <v>45938</v>
      </c>
      <c r="G1021">
        <v>202607</v>
      </c>
      <c r="H1021" t="s">
        <v>79</v>
      </c>
      <c r="I1021" t="s">
        <v>80</v>
      </c>
      <c r="J1021" t="s">
        <v>91</v>
      </c>
      <c r="K1021" t="s">
        <v>78</v>
      </c>
      <c r="L1021" t="s">
        <v>121</v>
      </c>
      <c r="M1021" t="s">
        <v>122</v>
      </c>
      <c r="N1021" t="s">
        <v>123</v>
      </c>
      <c r="O1021" t="s">
        <v>82</v>
      </c>
      <c r="P1021" t="str">
        <f>"4170063546                    "</f>
        <v xml:space="preserve">4170063546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22.36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70.959999999999994</v>
      </c>
      <c r="BM1021">
        <v>10.64</v>
      </c>
      <c r="BN1021">
        <v>81.599999999999994</v>
      </c>
      <c r="BO1021">
        <v>81.599999999999994</v>
      </c>
      <c r="BQ1021" t="s">
        <v>124</v>
      </c>
      <c r="BR1021" t="s">
        <v>97</v>
      </c>
      <c r="BS1021" s="3">
        <v>45939</v>
      </c>
      <c r="BT1021" s="4">
        <v>0.35833333333333334</v>
      </c>
      <c r="BU1021" t="s">
        <v>1611</v>
      </c>
      <c r="BV1021" t="s">
        <v>86</v>
      </c>
      <c r="BY1021">
        <v>1200</v>
      </c>
      <c r="CA1021" t="s">
        <v>126</v>
      </c>
      <c r="CC1021" t="s">
        <v>122</v>
      </c>
      <c r="CD1021">
        <v>4051</v>
      </c>
      <c r="CE1021" t="s">
        <v>147</v>
      </c>
      <c r="CF1021" s="3">
        <v>45939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"080068397214"</f>
        <v>080068397214</v>
      </c>
      <c r="F1022" s="3">
        <v>45938</v>
      </c>
      <c r="G1022">
        <v>202607</v>
      </c>
      <c r="H1022" t="s">
        <v>79</v>
      </c>
      <c r="I1022" t="s">
        <v>80</v>
      </c>
      <c r="J1022" t="s">
        <v>91</v>
      </c>
      <c r="K1022" t="s">
        <v>78</v>
      </c>
      <c r="L1022" t="s">
        <v>206</v>
      </c>
      <c r="M1022" t="s">
        <v>207</v>
      </c>
      <c r="N1022" t="s">
        <v>1514</v>
      </c>
      <c r="O1022" t="s">
        <v>82</v>
      </c>
      <c r="P1022" t="str">
        <f>"4170063479                    "</f>
        <v xml:space="preserve">4170063479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22.36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70.959999999999994</v>
      </c>
      <c r="BM1022">
        <v>10.64</v>
      </c>
      <c r="BN1022">
        <v>81.599999999999994</v>
      </c>
      <c r="BO1022">
        <v>81.599999999999994</v>
      </c>
      <c r="BQ1022" t="s">
        <v>1515</v>
      </c>
      <c r="BR1022" t="s">
        <v>97</v>
      </c>
      <c r="BS1022" s="3">
        <v>45939</v>
      </c>
      <c r="BT1022" s="4">
        <v>0.3923611111111111</v>
      </c>
      <c r="BU1022" t="s">
        <v>1516</v>
      </c>
      <c r="BV1022" t="s">
        <v>86</v>
      </c>
      <c r="BY1022">
        <v>1200</v>
      </c>
      <c r="CA1022" t="s">
        <v>388</v>
      </c>
      <c r="CC1022" t="s">
        <v>207</v>
      </c>
      <c r="CD1022">
        <v>7405</v>
      </c>
      <c r="CE1022" t="s">
        <v>147</v>
      </c>
      <c r="CF1022" s="3">
        <v>45940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"080068397245"</f>
        <v>080068397245</v>
      </c>
      <c r="F1023" s="3">
        <v>45938</v>
      </c>
      <c r="G1023">
        <v>202607</v>
      </c>
      <c r="H1023" t="s">
        <v>79</v>
      </c>
      <c r="I1023" t="s">
        <v>80</v>
      </c>
      <c r="J1023" t="s">
        <v>91</v>
      </c>
      <c r="K1023" t="s">
        <v>78</v>
      </c>
      <c r="L1023" t="s">
        <v>246</v>
      </c>
      <c r="M1023" t="s">
        <v>247</v>
      </c>
      <c r="N1023" t="s">
        <v>248</v>
      </c>
      <c r="O1023" t="s">
        <v>95</v>
      </c>
      <c r="P1023" t="str">
        <f>"4170063481                    "</f>
        <v xml:space="preserve">4170063481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60.97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16.739999999999998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2</v>
      </c>
      <c r="BJ1023">
        <v>3.6</v>
      </c>
      <c r="BK1023">
        <v>4</v>
      </c>
      <c r="BL1023">
        <v>216.13</v>
      </c>
      <c r="BM1023">
        <v>32.42</v>
      </c>
      <c r="BN1023">
        <v>248.55</v>
      </c>
      <c r="BO1023">
        <v>248.55</v>
      </c>
      <c r="BQ1023" t="s">
        <v>249</v>
      </c>
      <c r="BR1023" t="s">
        <v>97</v>
      </c>
      <c r="BS1023" s="3">
        <v>45939</v>
      </c>
      <c r="BT1023" s="4">
        <v>0.4826388888888889</v>
      </c>
      <c r="BU1023" t="s">
        <v>1775</v>
      </c>
      <c r="BV1023" t="s">
        <v>86</v>
      </c>
      <c r="BY1023">
        <v>18096</v>
      </c>
      <c r="BZ1023" t="s">
        <v>30</v>
      </c>
      <c r="CC1023" t="s">
        <v>247</v>
      </c>
      <c r="CD1023" s="5" t="s">
        <v>252</v>
      </c>
      <c r="CE1023" t="s">
        <v>191</v>
      </c>
      <c r="CF1023" s="3">
        <v>45940</v>
      </c>
      <c r="CI1023">
        <v>1</v>
      </c>
      <c r="CJ1023">
        <v>1</v>
      </c>
      <c r="CK1023">
        <v>43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"080068397298"</f>
        <v>080068397298</v>
      </c>
      <c r="F1024" s="3">
        <v>45938</v>
      </c>
      <c r="G1024">
        <v>202607</v>
      </c>
      <c r="H1024" t="s">
        <v>79</v>
      </c>
      <c r="I1024" t="s">
        <v>80</v>
      </c>
      <c r="J1024" t="s">
        <v>91</v>
      </c>
      <c r="K1024" t="s">
        <v>78</v>
      </c>
      <c r="L1024" t="s">
        <v>108</v>
      </c>
      <c r="M1024" t="s">
        <v>109</v>
      </c>
      <c r="N1024" t="s">
        <v>229</v>
      </c>
      <c r="O1024" t="s">
        <v>82</v>
      </c>
      <c r="P1024" t="str">
        <f>"4170063476                    "</f>
        <v xml:space="preserve">4170063476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50.28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2</v>
      </c>
      <c r="BJ1024">
        <v>4.5</v>
      </c>
      <c r="BK1024">
        <v>4.5</v>
      </c>
      <c r="BL1024">
        <v>159.58000000000001</v>
      </c>
      <c r="BM1024">
        <v>23.94</v>
      </c>
      <c r="BN1024">
        <v>183.52</v>
      </c>
      <c r="BO1024">
        <v>183.52</v>
      </c>
      <c r="BQ1024" t="s">
        <v>230</v>
      </c>
      <c r="BR1024" t="s">
        <v>97</v>
      </c>
      <c r="BS1024" s="3">
        <v>45939</v>
      </c>
      <c r="BT1024" s="4">
        <v>0.41875000000000001</v>
      </c>
      <c r="BU1024" t="s">
        <v>1741</v>
      </c>
      <c r="BV1024" t="s">
        <v>86</v>
      </c>
      <c r="BY1024">
        <v>22620</v>
      </c>
      <c r="CA1024" t="s">
        <v>1145</v>
      </c>
      <c r="CC1024" t="s">
        <v>109</v>
      </c>
      <c r="CD1024">
        <v>6001</v>
      </c>
      <c r="CE1024" t="s">
        <v>191</v>
      </c>
      <c r="CF1024" s="3">
        <v>45939</v>
      </c>
      <c r="CI1024">
        <v>1</v>
      </c>
      <c r="CJ1024">
        <v>1</v>
      </c>
      <c r="CK1024">
        <v>21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"080068397486"</f>
        <v>080068397486</v>
      </c>
      <c r="F1025" s="3">
        <v>45938</v>
      </c>
      <c r="G1025">
        <v>202607</v>
      </c>
      <c r="H1025" t="s">
        <v>79</v>
      </c>
      <c r="I1025" t="s">
        <v>80</v>
      </c>
      <c r="J1025" t="s">
        <v>91</v>
      </c>
      <c r="K1025" t="s">
        <v>78</v>
      </c>
      <c r="L1025" t="s">
        <v>1776</v>
      </c>
      <c r="M1025" t="s">
        <v>1777</v>
      </c>
      <c r="N1025" t="s">
        <v>1778</v>
      </c>
      <c r="O1025" t="s">
        <v>82</v>
      </c>
      <c r="P1025" t="str">
        <f>"4170063595                    "</f>
        <v xml:space="preserve">4170063595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22.36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1.5</v>
      </c>
      <c r="BK1025">
        <v>1.5</v>
      </c>
      <c r="BL1025">
        <v>70.959999999999994</v>
      </c>
      <c r="BM1025">
        <v>10.64</v>
      </c>
      <c r="BN1025">
        <v>81.599999999999994</v>
      </c>
      <c r="BO1025">
        <v>81.599999999999994</v>
      </c>
      <c r="BQ1025" t="s">
        <v>1779</v>
      </c>
      <c r="BR1025" t="s">
        <v>97</v>
      </c>
      <c r="BS1025" s="3">
        <v>45939</v>
      </c>
      <c r="BT1025" s="4">
        <v>0.51388888888888884</v>
      </c>
      <c r="BU1025" t="s">
        <v>1780</v>
      </c>
      <c r="BV1025" t="s">
        <v>86</v>
      </c>
      <c r="BY1025">
        <v>7448</v>
      </c>
      <c r="CA1025" t="s">
        <v>146</v>
      </c>
      <c r="CC1025" t="s">
        <v>1777</v>
      </c>
      <c r="CD1025">
        <v>6529</v>
      </c>
      <c r="CE1025" t="s">
        <v>107</v>
      </c>
      <c r="CF1025" s="3">
        <v>45939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"080068397487"</f>
        <v>080068397487</v>
      </c>
      <c r="F1026" s="3">
        <v>45938</v>
      </c>
      <c r="G1026">
        <v>202607</v>
      </c>
      <c r="H1026" t="s">
        <v>79</v>
      </c>
      <c r="I1026" t="s">
        <v>80</v>
      </c>
      <c r="J1026" t="s">
        <v>91</v>
      </c>
      <c r="K1026" t="s">
        <v>78</v>
      </c>
      <c r="L1026" t="s">
        <v>92</v>
      </c>
      <c r="M1026" t="s">
        <v>93</v>
      </c>
      <c r="N1026" t="s">
        <v>552</v>
      </c>
      <c r="O1026" t="s">
        <v>82</v>
      </c>
      <c r="P1026" t="str">
        <f>"4170063620                    "</f>
        <v xml:space="preserve">4170063620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22.36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70.959999999999994</v>
      </c>
      <c r="BM1026">
        <v>10.64</v>
      </c>
      <c r="BN1026">
        <v>81.599999999999994</v>
      </c>
      <c r="BO1026">
        <v>81.599999999999994</v>
      </c>
      <c r="BQ1026" t="s">
        <v>553</v>
      </c>
      <c r="BR1026" t="s">
        <v>97</v>
      </c>
      <c r="BS1026" s="3">
        <v>45939</v>
      </c>
      <c r="BT1026" s="4">
        <v>0.41805555555555557</v>
      </c>
      <c r="BU1026" t="s">
        <v>1781</v>
      </c>
      <c r="BV1026" t="s">
        <v>86</v>
      </c>
      <c r="BY1026">
        <v>1200</v>
      </c>
      <c r="CA1026" t="s">
        <v>1782</v>
      </c>
      <c r="CC1026" t="s">
        <v>93</v>
      </c>
      <c r="CD1026">
        <v>3201</v>
      </c>
      <c r="CE1026" t="s">
        <v>147</v>
      </c>
      <c r="CF1026" s="3">
        <v>45940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"080068397508"</f>
        <v>080068397508</v>
      </c>
      <c r="F1027" s="3">
        <v>45938</v>
      </c>
      <c r="G1027">
        <v>202607</v>
      </c>
      <c r="H1027" t="s">
        <v>79</v>
      </c>
      <c r="I1027" t="s">
        <v>80</v>
      </c>
      <c r="J1027" t="s">
        <v>91</v>
      </c>
      <c r="K1027" t="s">
        <v>78</v>
      </c>
      <c r="L1027" t="s">
        <v>121</v>
      </c>
      <c r="M1027" t="s">
        <v>122</v>
      </c>
      <c r="N1027" t="s">
        <v>123</v>
      </c>
      <c r="O1027" t="s">
        <v>82</v>
      </c>
      <c r="P1027" t="str">
        <f>"4170063618                    "</f>
        <v xml:space="preserve">4170063618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22.36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70.959999999999994</v>
      </c>
      <c r="BM1027">
        <v>10.64</v>
      </c>
      <c r="BN1027">
        <v>81.599999999999994</v>
      </c>
      <c r="BO1027">
        <v>81.599999999999994</v>
      </c>
      <c r="BQ1027" t="s">
        <v>124</v>
      </c>
      <c r="BR1027" t="s">
        <v>97</v>
      </c>
      <c r="BS1027" s="3">
        <v>45939</v>
      </c>
      <c r="BT1027" s="4">
        <v>0.35833333333333334</v>
      </c>
      <c r="BU1027" t="s">
        <v>1611</v>
      </c>
      <c r="BV1027" t="s">
        <v>86</v>
      </c>
      <c r="BY1027">
        <v>1200</v>
      </c>
      <c r="CA1027" t="s">
        <v>126</v>
      </c>
      <c r="CC1027" t="s">
        <v>122</v>
      </c>
      <c r="CD1027">
        <v>4000</v>
      </c>
      <c r="CE1027" t="s">
        <v>147</v>
      </c>
      <c r="CF1027" s="3">
        <v>45939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"080068397515"</f>
        <v>080068397515</v>
      </c>
      <c r="F1028" s="3">
        <v>45938</v>
      </c>
      <c r="G1028">
        <v>202607</v>
      </c>
      <c r="H1028" t="s">
        <v>79</v>
      </c>
      <c r="I1028" t="s">
        <v>80</v>
      </c>
      <c r="J1028" t="s">
        <v>91</v>
      </c>
      <c r="K1028" t="s">
        <v>78</v>
      </c>
      <c r="L1028" t="s">
        <v>92</v>
      </c>
      <c r="M1028" t="s">
        <v>93</v>
      </c>
      <c r="N1028" t="s">
        <v>597</v>
      </c>
      <c r="O1028" t="s">
        <v>82</v>
      </c>
      <c r="P1028" t="str">
        <f>"4170063474                    "</f>
        <v xml:space="preserve">4170063474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33.520000000000003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3</v>
      </c>
      <c r="BJ1028">
        <v>1.9</v>
      </c>
      <c r="BK1028">
        <v>3</v>
      </c>
      <c r="BL1028">
        <v>106.4</v>
      </c>
      <c r="BM1028">
        <v>15.96</v>
      </c>
      <c r="BN1028">
        <v>122.36</v>
      </c>
      <c r="BO1028">
        <v>122.36</v>
      </c>
      <c r="BQ1028" t="s">
        <v>598</v>
      </c>
      <c r="BR1028" t="s">
        <v>97</v>
      </c>
      <c r="BS1028" s="3">
        <v>45939</v>
      </c>
      <c r="BT1028" s="4">
        <v>0.4201388888888889</v>
      </c>
      <c r="BU1028" t="s">
        <v>1772</v>
      </c>
      <c r="BV1028" t="s">
        <v>86</v>
      </c>
      <c r="BY1028">
        <v>9367</v>
      </c>
      <c r="CA1028" t="s">
        <v>1773</v>
      </c>
      <c r="CC1028" t="s">
        <v>93</v>
      </c>
      <c r="CD1028">
        <v>3201</v>
      </c>
      <c r="CE1028" t="s">
        <v>191</v>
      </c>
      <c r="CF1028" s="3">
        <v>45940</v>
      </c>
      <c r="CI1028">
        <v>1</v>
      </c>
      <c r="CJ1028">
        <v>1</v>
      </c>
      <c r="CK1028">
        <v>21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"080068397528"</f>
        <v>080068397528</v>
      </c>
      <c r="F1029" s="3">
        <v>45938</v>
      </c>
      <c r="G1029">
        <v>202607</v>
      </c>
      <c r="H1029" t="s">
        <v>79</v>
      </c>
      <c r="I1029" t="s">
        <v>80</v>
      </c>
      <c r="J1029" t="s">
        <v>91</v>
      </c>
      <c r="K1029" t="s">
        <v>78</v>
      </c>
      <c r="L1029" t="s">
        <v>108</v>
      </c>
      <c r="M1029" t="s">
        <v>109</v>
      </c>
      <c r="N1029" t="s">
        <v>1203</v>
      </c>
      <c r="O1029" t="s">
        <v>82</v>
      </c>
      <c r="P1029" t="str">
        <f>"4170063629                    "</f>
        <v xml:space="preserve">4170063629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22.36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70.959999999999994</v>
      </c>
      <c r="BM1029">
        <v>10.64</v>
      </c>
      <c r="BN1029">
        <v>81.599999999999994</v>
      </c>
      <c r="BO1029">
        <v>81.599999999999994</v>
      </c>
      <c r="BQ1029" t="s">
        <v>1204</v>
      </c>
      <c r="BR1029" t="s">
        <v>97</v>
      </c>
      <c r="BS1029" s="3">
        <v>45939</v>
      </c>
      <c r="BT1029" s="4">
        <v>0.38611111111111113</v>
      </c>
      <c r="BU1029" t="s">
        <v>1747</v>
      </c>
      <c r="BV1029" t="s">
        <v>86</v>
      </c>
      <c r="BY1029">
        <v>1200</v>
      </c>
      <c r="CA1029" t="s">
        <v>1090</v>
      </c>
      <c r="CC1029" t="s">
        <v>109</v>
      </c>
      <c r="CD1029">
        <v>6012</v>
      </c>
      <c r="CE1029" t="s">
        <v>147</v>
      </c>
      <c r="CF1029" s="3">
        <v>45939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"080068397543"</f>
        <v>080068397543</v>
      </c>
      <c r="F1030" s="3">
        <v>45938</v>
      </c>
      <c r="G1030">
        <v>202607</v>
      </c>
      <c r="H1030" t="s">
        <v>79</v>
      </c>
      <c r="I1030" t="s">
        <v>80</v>
      </c>
      <c r="J1030" t="s">
        <v>91</v>
      </c>
      <c r="K1030" t="s">
        <v>78</v>
      </c>
      <c r="L1030" t="s">
        <v>446</v>
      </c>
      <c r="M1030" t="s">
        <v>447</v>
      </c>
      <c r="N1030" t="s">
        <v>448</v>
      </c>
      <c r="O1030" t="s">
        <v>82</v>
      </c>
      <c r="P1030" t="str">
        <f>"4170063626                    "</f>
        <v xml:space="preserve">4170063626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43.31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1.1000000000000001</v>
      </c>
      <c r="BK1030">
        <v>1.5</v>
      </c>
      <c r="BL1030">
        <v>137.47</v>
      </c>
      <c r="BM1030">
        <v>20.62</v>
      </c>
      <c r="BN1030">
        <v>158.09</v>
      </c>
      <c r="BO1030">
        <v>158.09</v>
      </c>
      <c r="BQ1030" t="s">
        <v>449</v>
      </c>
      <c r="BR1030" t="s">
        <v>97</v>
      </c>
      <c r="BS1030" s="3">
        <v>45939</v>
      </c>
      <c r="BT1030" s="4">
        <v>0.49861111111111112</v>
      </c>
      <c r="BU1030" t="s">
        <v>1537</v>
      </c>
      <c r="BV1030" t="s">
        <v>86</v>
      </c>
      <c r="BY1030">
        <v>5510</v>
      </c>
      <c r="CA1030" t="s">
        <v>452</v>
      </c>
      <c r="CC1030" t="s">
        <v>447</v>
      </c>
      <c r="CD1030">
        <v>7130</v>
      </c>
      <c r="CE1030" t="s">
        <v>191</v>
      </c>
      <c r="CF1030" s="3">
        <v>45940</v>
      </c>
      <c r="CI1030">
        <v>1</v>
      </c>
      <c r="CJ1030">
        <v>1</v>
      </c>
      <c r="CK1030">
        <v>23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"080068397548"</f>
        <v>080068397548</v>
      </c>
      <c r="F1031" s="3">
        <v>45938</v>
      </c>
      <c r="G1031">
        <v>202607</v>
      </c>
      <c r="H1031" t="s">
        <v>79</v>
      </c>
      <c r="I1031" t="s">
        <v>80</v>
      </c>
      <c r="J1031" t="s">
        <v>91</v>
      </c>
      <c r="K1031" t="s">
        <v>78</v>
      </c>
      <c r="L1031" t="s">
        <v>168</v>
      </c>
      <c r="M1031" t="s">
        <v>169</v>
      </c>
      <c r="N1031" t="s">
        <v>1783</v>
      </c>
      <c r="O1031" t="s">
        <v>82</v>
      </c>
      <c r="P1031" t="str">
        <f>"4170063619                    "</f>
        <v xml:space="preserve">4170063619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22.36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70.959999999999994</v>
      </c>
      <c r="BM1031">
        <v>10.64</v>
      </c>
      <c r="BN1031">
        <v>81.599999999999994</v>
      </c>
      <c r="BO1031">
        <v>81.599999999999994</v>
      </c>
      <c r="BQ1031" t="s">
        <v>1784</v>
      </c>
      <c r="BR1031" t="s">
        <v>97</v>
      </c>
      <c r="BS1031" s="3">
        <v>45939</v>
      </c>
      <c r="BT1031" s="4">
        <v>0.39166666666666666</v>
      </c>
      <c r="BU1031" t="s">
        <v>1785</v>
      </c>
      <c r="BV1031" t="s">
        <v>86</v>
      </c>
      <c r="BY1031">
        <v>1200</v>
      </c>
      <c r="CA1031">
        <v>8303236124087</v>
      </c>
      <c r="CC1031" t="s">
        <v>169</v>
      </c>
      <c r="CD1031" s="5" t="s">
        <v>190</v>
      </c>
      <c r="CE1031" t="s">
        <v>147</v>
      </c>
      <c r="CF1031" s="3">
        <v>45939</v>
      </c>
      <c r="CI1031">
        <v>1</v>
      </c>
      <c r="CJ1031">
        <v>1</v>
      </c>
      <c r="CK1031">
        <v>21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"080068397577"</f>
        <v>080068397577</v>
      </c>
      <c r="F1032" s="3">
        <v>45938</v>
      </c>
      <c r="G1032">
        <v>202607</v>
      </c>
      <c r="H1032" t="s">
        <v>79</v>
      </c>
      <c r="I1032" t="s">
        <v>80</v>
      </c>
      <c r="J1032" t="s">
        <v>91</v>
      </c>
      <c r="K1032" t="s">
        <v>78</v>
      </c>
      <c r="L1032" t="s">
        <v>206</v>
      </c>
      <c r="M1032" t="s">
        <v>207</v>
      </c>
      <c r="N1032" t="s">
        <v>458</v>
      </c>
      <c r="O1032" t="s">
        <v>82</v>
      </c>
      <c r="P1032" t="str">
        <f>"4170063469                    "</f>
        <v xml:space="preserve">4170063469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22.36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70.959999999999994</v>
      </c>
      <c r="BM1032">
        <v>10.64</v>
      </c>
      <c r="BN1032">
        <v>81.599999999999994</v>
      </c>
      <c r="BO1032">
        <v>81.599999999999994</v>
      </c>
      <c r="BQ1032" t="s">
        <v>459</v>
      </c>
      <c r="BR1032" t="s">
        <v>97</v>
      </c>
      <c r="BS1032" s="3">
        <v>45939</v>
      </c>
      <c r="BT1032" s="4">
        <v>0.39027777777777778</v>
      </c>
      <c r="BU1032" t="s">
        <v>1396</v>
      </c>
      <c r="BV1032" t="s">
        <v>86</v>
      </c>
      <c r="BY1032">
        <v>1200</v>
      </c>
      <c r="CA1032" t="s">
        <v>461</v>
      </c>
      <c r="CC1032" t="s">
        <v>207</v>
      </c>
      <c r="CD1032">
        <v>7535</v>
      </c>
      <c r="CE1032" t="s">
        <v>147</v>
      </c>
      <c r="CF1032" s="3">
        <v>45940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"080068397583"</f>
        <v>080068397583</v>
      </c>
      <c r="F1033" s="3">
        <v>45938</v>
      </c>
      <c r="G1033">
        <v>202607</v>
      </c>
      <c r="H1033" t="s">
        <v>79</v>
      </c>
      <c r="I1033" t="s">
        <v>80</v>
      </c>
      <c r="J1033" t="s">
        <v>91</v>
      </c>
      <c r="K1033" t="s">
        <v>78</v>
      </c>
      <c r="L1033" t="s">
        <v>195</v>
      </c>
      <c r="M1033" t="s">
        <v>196</v>
      </c>
      <c r="N1033" t="s">
        <v>1786</v>
      </c>
      <c r="O1033" t="s">
        <v>82</v>
      </c>
      <c r="P1033" t="str">
        <f>"4170063449                    "</f>
        <v xml:space="preserve">4170063449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43.31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2</v>
      </c>
      <c r="BK1033">
        <v>2</v>
      </c>
      <c r="BL1033">
        <v>137.47</v>
      </c>
      <c r="BM1033">
        <v>20.62</v>
      </c>
      <c r="BN1033">
        <v>158.09</v>
      </c>
      <c r="BO1033">
        <v>158.09</v>
      </c>
      <c r="BQ1033" t="s">
        <v>1787</v>
      </c>
      <c r="BR1033" t="s">
        <v>97</v>
      </c>
      <c r="BS1033" s="3">
        <v>45939</v>
      </c>
      <c r="BT1033" s="4">
        <v>0.41666666666666669</v>
      </c>
      <c r="BU1033" t="s">
        <v>1788</v>
      </c>
      <c r="BV1033" t="s">
        <v>86</v>
      </c>
      <c r="BY1033">
        <v>10080</v>
      </c>
      <c r="CA1033" t="s">
        <v>200</v>
      </c>
      <c r="CC1033" t="s">
        <v>196</v>
      </c>
      <c r="CD1033">
        <v>1911</v>
      </c>
      <c r="CE1033" t="s">
        <v>191</v>
      </c>
      <c r="CF1033" s="3">
        <v>45939</v>
      </c>
      <c r="CI1033">
        <v>1</v>
      </c>
      <c r="CJ1033">
        <v>1</v>
      </c>
      <c r="CK1033">
        <v>23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"080068397610"</f>
        <v>080068397610</v>
      </c>
      <c r="F1034" s="3">
        <v>45938</v>
      </c>
      <c r="G1034">
        <v>202607</v>
      </c>
      <c r="H1034" t="s">
        <v>79</v>
      </c>
      <c r="I1034" t="s">
        <v>80</v>
      </c>
      <c r="J1034" t="s">
        <v>91</v>
      </c>
      <c r="K1034" t="s">
        <v>78</v>
      </c>
      <c r="L1034" t="s">
        <v>322</v>
      </c>
      <c r="M1034" t="s">
        <v>322</v>
      </c>
      <c r="N1034" t="s">
        <v>483</v>
      </c>
      <c r="O1034" t="s">
        <v>82</v>
      </c>
      <c r="P1034" t="str">
        <f>"4170063557                    "</f>
        <v xml:space="preserve">4170063557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43.31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137.47</v>
      </c>
      <c r="BM1034">
        <v>20.62</v>
      </c>
      <c r="BN1034">
        <v>158.09</v>
      </c>
      <c r="BO1034">
        <v>158.09</v>
      </c>
      <c r="BQ1034" t="s">
        <v>486</v>
      </c>
      <c r="BR1034" t="s">
        <v>97</v>
      </c>
      <c r="BS1034" s="3">
        <v>45939</v>
      </c>
      <c r="BT1034" s="4">
        <v>0.41944444444444445</v>
      </c>
      <c r="BU1034" t="s">
        <v>1636</v>
      </c>
      <c r="BV1034" t="s">
        <v>86</v>
      </c>
      <c r="BY1034">
        <v>1200</v>
      </c>
      <c r="CA1034" t="s">
        <v>1637</v>
      </c>
      <c r="CC1034" t="s">
        <v>322</v>
      </c>
      <c r="CD1034">
        <v>7646</v>
      </c>
      <c r="CE1034" t="s">
        <v>147</v>
      </c>
      <c r="CF1034" s="3">
        <v>45940</v>
      </c>
      <c r="CI1034">
        <v>1</v>
      </c>
      <c r="CJ1034">
        <v>1</v>
      </c>
      <c r="CK1034">
        <v>23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"080068397646"</f>
        <v>080068397646</v>
      </c>
      <c r="F1035" s="3">
        <v>45938</v>
      </c>
      <c r="G1035">
        <v>202607</v>
      </c>
      <c r="H1035" t="s">
        <v>79</v>
      </c>
      <c r="I1035" t="s">
        <v>80</v>
      </c>
      <c r="J1035" t="s">
        <v>91</v>
      </c>
      <c r="K1035" t="s">
        <v>78</v>
      </c>
      <c r="L1035" t="s">
        <v>206</v>
      </c>
      <c r="M1035" t="s">
        <v>207</v>
      </c>
      <c r="N1035" t="s">
        <v>1789</v>
      </c>
      <c r="O1035" t="s">
        <v>82</v>
      </c>
      <c r="P1035" t="str">
        <f>"4170063627                    "</f>
        <v xml:space="preserve">4170063627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22.36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70.959999999999994</v>
      </c>
      <c r="BM1035">
        <v>10.64</v>
      </c>
      <c r="BN1035">
        <v>81.599999999999994</v>
      </c>
      <c r="BO1035">
        <v>81.599999999999994</v>
      </c>
      <c r="BQ1035" t="s">
        <v>1790</v>
      </c>
      <c r="BR1035" t="s">
        <v>97</v>
      </c>
      <c r="BS1035" s="3">
        <v>45939</v>
      </c>
      <c r="BT1035" s="4">
        <v>0.37638888888888888</v>
      </c>
      <c r="BU1035" t="s">
        <v>1791</v>
      </c>
      <c r="BV1035" t="s">
        <v>86</v>
      </c>
      <c r="BY1035">
        <v>1200</v>
      </c>
      <c r="CA1035" t="s">
        <v>415</v>
      </c>
      <c r="CC1035" t="s">
        <v>207</v>
      </c>
      <c r="CD1035">
        <v>7500</v>
      </c>
      <c r="CE1035" t="s">
        <v>147</v>
      </c>
      <c r="CF1035" s="3">
        <v>45940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"080068397666"</f>
        <v>080068397666</v>
      </c>
      <c r="F1036" s="3">
        <v>45938</v>
      </c>
      <c r="G1036">
        <v>202607</v>
      </c>
      <c r="H1036" t="s">
        <v>79</v>
      </c>
      <c r="I1036" t="s">
        <v>80</v>
      </c>
      <c r="J1036" t="s">
        <v>91</v>
      </c>
      <c r="K1036" t="s">
        <v>78</v>
      </c>
      <c r="L1036" t="s">
        <v>763</v>
      </c>
      <c r="M1036" t="s">
        <v>764</v>
      </c>
      <c r="N1036" t="s">
        <v>765</v>
      </c>
      <c r="O1036" t="s">
        <v>82</v>
      </c>
      <c r="P1036" t="str">
        <f>"4170063516                    "</f>
        <v xml:space="preserve">4170063516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43.31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137.47</v>
      </c>
      <c r="BM1036">
        <v>20.62</v>
      </c>
      <c r="BN1036">
        <v>158.09</v>
      </c>
      <c r="BO1036">
        <v>158.09</v>
      </c>
      <c r="BQ1036" t="s">
        <v>766</v>
      </c>
      <c r="BR1036" t="s">
        <v>97</v>
      </c>
      <c r="BS1036" s="3">
        <v>45939</v>
      </c>
      <c r="BT1036" s="4">
        <v>0.3888888888888889</v>
      </c>
      <c r="BU1036" t="s">
        <v>1653</v>
      </c>
      <c r="BV1036" t="s">
        <v>86</v>
      </c>
      <c r="BY1036">
        <v>1200</v>
      </c>
      <c r="CA1036" t="s">
        <v>1654</v>
      </c>
      <c r="CC1036" t="s">
        <v>764</v>
      </c>
      <c r="CD1036">
        <v>2531</v>
      </c>
      <c r="CE1036" t="s">
        <v>147</v>
      </c>
      <c r="CF1036" s="3">
        <v>45940</v>
      </c>
      <c r="CI1036">
        <v>1</v>
      </c>
      <c r="CJ1036">
        <v>1</v>
      </c>
      <c r="CK1036">
        <v>23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"080068397674"</f>
        <v>080068397674</v>
      </c>
      <c r="F1037" s="3">
        <v>45938</v>
      </c>
      <c r="G1037">
        <v>202607</v>
      </c>
      <c r="H1037" t="s">
        <v>79</v>
      </c>
      <c r="I1037" t="s">
        <v>80</v>
      </c>
      <c r="J1037" t="s">
        <v>91</v>
      </c>
      <c r="K1037" t="s">
        <v>78</v>
      </c>
      <c r="L1037" t="s">
        <v>148</v>
      </c>
      <c r="M1037" t="s">
        <v>149</v>
      </c>
      <c r="N1037" t="s">
        <v>465</v>
      </c>
      <c r="O1037" t="s">
        <v>82</v>
      </c>
      <c r="P1037" t="str">
        <f>"4170063461                    "</f>
        <v xml:space="preserve">4170063461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17.46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2</v>
      </c>
      <c r="BK1037">
        <v>2</v>
      </c>
      <c r="BL1037">
        <v>55.42</v>
      </c>
      <c r="BM1037">
        <v>8.31</v>
      </c>
      <c r="BN1037">
        <v>63.73</v>
      </c>
      <c r="BO1037">
        <v>63.73</v>
      </c>
      <c r="BQ1037" t="s">
        <v>466</v>
      </c>
      <c r="BR1037" t="s">
        <v>97</v>
      </c>
      <c r="BS1037" s="3">
        <v>45939</v>
      </c>
      <c r="BT1037" s="4">
        <v>0.40486111111111112</v>
      </c>
      <c r="BU1037" t="s">
        <v>792</v>
      </c>
      <c r="BV1037" t="s">
        <v>86</v>
      </c>
      <c r="BY1037">
        <v>10080</v>
      </c>
      <c r="CA1037" t="s">
        <v>519</v>
      </c>
      <c r="CC1037" t="s">
        <v>149</v>
      </c>
      <c r="CD1037">
        <v>2094</v>
      </c>
      <c r="CE1037" t="s">
        <v>107</v>
      </c>
      <c r="CF1037" s="3">
        <v>45939</v>
      </c>
      <c r="CI1037">
        <v>1</v>
      </c>
      <c r="CJ1037">
        <v>1</v>
      </c>
      <c r="CK1037">
        <v>22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"080068397971"</f>
        <v>080068397971</v>
      </c>
      <c r="F1038" s="3">
        <v>45938</v>
      </c>
      <c r="G1038">
        <v>202607</v>
      </c>
      <c r="H1038" t="s">
        <v>79</v>
      </c>
      <c r="I1038" t="s">
        <v>80</v>
      </c>
      <c r="J1038" t="s">
        <v>91</v>
      </c>
      <c r="K1038" t="s">
        <v>78</v>
      </c>
      <c r="L1038" t="s">
        <v>148</v>
      </c>
      <c r="M1038" t="s">
        <v>149</v>
      </c>
      <c r="N1038" t="s">
        <v>685</v>
      </c>
      <c r="O1038" t="s">
        <v>95</v>
      </c>
      <c r="P1038" t="str">
        <f>"4170063505                    "</f>
        <v xml:space="preserve">4170063505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33.36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5</v>
      </c>
      <c r="BJ1038">
        <v>13.8</v>
      </c>
      <c r="BK1038">
        <v>14</v>
      </c>
      <c r="BL1038">
        <v>111.75</v>
      </c>
      <c r="BM1038">
        <v>16.760000000000002</v>
      </c>
      <c r="BN1038">
        <v>128.51</v>
      </c>
      <c r="BO1038">
        <v>128.51</v>
      </c>
      <c r="BQ1038" t="s">
        <v>686</v>
      </c>
      <c r="BR1038" t="s">
        <v>97</v>
      </c>
      <c r="BS1038" s="3">
        <v>45939</v>
      </c>
      <c r="BT1038" s="4">
        <v>0.34027777777777779</v>
      </c>
      <c r="BU1038" t="s">
        <v>902</v>
      </c>
      <c r="BV1038" t="s">
        <v>86</v>
      </c>
      <c r="BY1038">
        <v>69120</v>
      </c>
      <c r="CA1038" t="s">
        <v>904</v>
      </c>
      <c r="CC1038" t="s">
        <v>149</v>
      </c>
      <c r="CD1038">
        <v>2169</v>
      </c>
      <c r="CE1038" t="s">
        <v>191</v>
      </c>
      <c r="CF1038" s="3">
        <v>45940</v>
      </c>
      <c r="CI1038">
        <v>1</v>
      </c>
      <c r="CJ1038">
        <v>1</v>
      </c>
      <c r="CK1038">
        <v>42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"080068397998"</f>
        <v>080068397998</v>
      </c>
      <c r="F1039" s="3">
        <v>45938</v>
      </c>
      <c r="G1039">
        <v>202607</v>
      </c>
      <c r="H1039" t="s">
        <v>79</v>
      </c>
      <c r="I1039" t="s">
        <v>80</v>
      </c>
      <c r="J1039" t="s">
        <v>91</v>
      </c>
      <c r="K1039" t="s">
        <v>78</v>
      </c>
      <c r="L1039" t="s">
        <v>300</v>
      </c>
      <c r="M1039" t="s">
        <v>301</v>
      </c>
      <c r="N1039" t="s">
        <v>335</v>
      </c>
      <c r="O1039" t="s">
        <v>226</v>
      </c>
      <c r="P1039" t="str">
        <f>"4170063654                    "</f>
        <v xml:space="preserve">4170063654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59.74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2</v>
      </c>
      <c r="BJ1039">
        <v>3.4</v>
      </c>
      <c r="BK1039">
        <v>3.5</v>
      </c>
      <c r="BL1039">
        <v>189.62</v>
      </c>
      <c r="BM1039">
        <v>28.44</v>
      </c>
      <c r="BN1039">
        <v>218.06</v>
      </c>
      <c r="BO1039">
        <v>218.06</v>
      </c>
      <c r="BQ1039" t="s">
        <v>475</v>
      </c>
      <c r="BR1039" t="s">
        <v>97</v>
      </c>
      <c r="BS1039" s="3">
        <v>45939</v>
      </c>
      <c r="BT1039" s="4">
        <v>0.38680555555555557</v>
      </c>
      <c r="BU1039" t="s">
        <v>1792</v>
      </c>
      <c r="BV1039" t="s">
        <v>86</v>
      </c>
      <c r="BY1039">
        <v>16965</v>
      </c>
      <c r="CA1039" t="s">
        <v>974</v>
      </c>
      <c r="CC1039" t="s">
        <v>301</v>
      </c>
      <c r="CD1039">
        <v>1754</v>
      </c>
      <c r="CE1039" t="s">
        <v>191</v>
      </c>
      <c r="CF1039" s="3">
        <v>45939</v>
      </c>
      <c r="CI1039">
        <v>1</v>
      </c>
      <c r="CJ1039">
        <v>1</v>
      </c>
      <c r="CK1039">
        <v>34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"080068398035"</f>
        <v>080068398035</v>
      </c>
      <c r="F1040" s="3">
        <v>45938</v>
      </c>
      <c r="G1040">
        <v>202607</v>
      </c>
      <c r="H1040" t="s">
        <v>79</v>
      </c>
      <c r="I1040" t="s">
        <v>80</v>
      </c>
      <c r="J1040" t="s">
        <v>91</v>
      </c>
      <c r="K1040" t="s">
        <v>78</v>
      </c>
      <c r="L1040" t="s">
        <v>1793</v>
      </c>
      <c r="M1040" t="s">
        <v>1794</v>
      </c>
      <c r="N1040" t="s">
        <v>1795</v>
      </c>
      <c r="O1040" t="s">
        <v>82</v>
      </c>
      <c r="P1040" t="str">
        <f>"4170063646                    "</f>
        <v xml:space="preserve">4170063646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101.99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3</v>
      </c>
      <c r="BJ1040">
        <v>4.8</v>
      </c>
      <c r="BK1040">
        <v>5</v>
      </c>
      <c r="BL1040">
        <v>323.70999999999998</v>
      </c>
      <c r="BM1040">
        <v>48.56</v>
      </c>
      <c r="BN1040">
        <v>372.27</v>
      </c>
      <c r="BO1040">
        <v>372.27</v>
      </c>
      <c r="BQ1040" t="s">
        <v>1796</v>
      </c>
      <c r="BR1040" t="s">
        <v>97</v>
      </c>
      <c r="BS1040" s="3">
        <v>45939</v>
      </c>
      <c r="BT1040" s="4">
        <v>0.46875</v>
      </c>
      <c r="BU1040" t="s">
        <v>1797</v>
      </c>
      <c r="BV1040" t="s">
        <v>86</v>
      </c>
      <c r="BY1040">
        <v>24024</v>
      </c>
      <c r="CA1040" t="s">
        <v>1798</v>
      </c>
      <c r="CC1040" t="s">
        <v>1794</v>
      </c>
      <c r="CD1040">
        <v>9445</v>
      </c>
      <c r="CE1040" t="s">
        <v>107</v>
      </c>
      <c r="CF1040" s="3">
        <v>45939</v>
      </c>
      <c r="CI1040">
        <v>2</v>
      </c>
      <c r="CJ1040">
        <v>1</v>
      </c>
      <c r="CK1040">
        <v>23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"080068398066"</f>
        <v>080068398066</v>
      </c>
      <c r="F1041" s="3">
        <v>45938</v>
      </c>
      <c r="G1041">
        <v>202607</v>
      </c>
      <c r="H1041" t="s">
        <v>79</v>
      </c>
      <c r="I1041" t="s">
        <v>80</v>
      </c>
      <c r="J1041" t="s">
        <v>91</v>
      </c>
      <c r="K1041" t="s">
        <v>78</v>
      </c>
      <c r="L1041" t="s">
        <v>121</v>
      </c>
      <c r="M1041" t="s">
        <v>122</v>
      </c>
      <c r="N1041" t="s">
        <v>1023</v>
      </c>
      <c r="O1041" t="s">
        <v>82</v>
      </c>
      <c r="P1041" t="str">
        <f>"4170063644                    "</f>
        <v xml:space="preserve">4170063644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78.2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6.9</v>
      </c>
      <c r="BK1041">
        <v>7</v>
      </c>
      <c r="BL1041">
        <v>248.2</v>
      </c>
      <c r="BM1041">
        <v>37.229999999999997</v>
      </c>
      <c r="BN1041">
        <v>285.43</v>
      </c>
      <c r="BO1041">
        <v>285.43</v>
      </c>
      <c r="BQ1041" t="s">
        <v>1024</v>
      </c>
      <c r="BR1041" t="s">
        <v>97</v>
      </c>
      <c r="BS1041" s="3">
        <v>45939</v>
      </c>
      <c r="BT1041" s="4">
        <v>0.4201388888888889</v>
      </c>
      <c r="BU1041" t="s">
        <v>1025</v>
      </c>
      <c r="BV1041" t="s">
        <v>86</v>
      </c>
      <c r="BY1041">
        <v>34560</v>
      </c>
      <c r="CA1041" t="s">
        <v>1406</v>
      </c>
      <c r="CC1041" t="s">
        <v>122</v>
      </c>
      <c r="CD1041">
        <v>4000</v>
      </c>
      <c r="CE1041" t="s">
        <v>107</v>
      </c>
      <c r="CF1041" s="3">
        <v>45939</v>
      </c>
      <c r="CI1041">
        <v>1</v>
      </c>
      <c r="CJ1041">
        <v>1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"080068398096"</f>
        <v>080068398096</v>
      </c>
      <c r="F1042" s="3">
        <v>45938</v>
      </c>
      <c r="G1042">
        <v>202607</v>
      </c>
      <c r="H1042" t="s">
        <v>79</v>
      </c>
      <c r="I1042" t="s">
        <v>80</v>
      </c>
      <c r="J1042" t="s">
        <v>91</v>
      </c>
      <c r="K1042" t="s">
        <v>78</v>
      </c>
      <c r="L1042" t="s">
        <v>108</v>
      </c>
      <c r="M1042" t="s">
        <v>109</v>
      </c>
      <c r="N1042" t="s">
        <v>548</v>
      </c>
      <c r="O1042" t="s">
        <v>82</v>
      </c>
      <c r="P1042" t="str">
        <f>"4170063560                    "</f>
        <v xml:space="preserve">4170063560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22.36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70.959999999999994</v>
      </c>
      <c r="BM1042">
        <v>10.64</v>
      </c>
      <c r="BN1042">
        <v>81.599999999999994</v>
      </c>
      <c r="BO1042">
        <v>81.599999999999994</v>
      </c>
      <c r="BQ1042" t="s">
        <v>549</v>
      </c>
      <c r="BR1042" t="s">
        <v>97</v>
      </c>
      <c r="BS1042" s="3">
        <v>45939</v>
      </c>
      <c r="BT1042" s="4">
        <v>0.35</v>
      </c>
      <c r="BU1042" t="s">
        <v>1799</v>
      </c>
      <c r="BV1042" t="s">
        <v>86</v>
      </c>
      <c r="BY1042">
        <v>1200</v>
      </c>
      <c r="CA1042" t="s">
        <v>1090</v>
      </c>
      <c r="CC1042" t="s">
        <v>109</v>
      </c>
      <c r="CD1042">
        <v>6001</v>
      </c>
      <c r="CE1042" t="s">
        <v>147</v>
      </c>
      <c r="CF1042" s="3">
        <v>45939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"080068398308"</f>
        <v>080068398308</v>
      </c>
      <c r="F1043" s="3">
        <v>45938</v>
      </c>
      <c r="G1043">
        <v>202607</v>
      </c>
      <c r="H1043" t="s">
        <v>79</v>
      </c>
      <c r="I1043" t="s">
        <v>80</v>
      </c>
      <c r="J1043" t="s">
        <v>91</v>
      </c>
      <c r="K1043" t="s">
        <v>78</v>
      </c>
      <c r="L1043" t="s">
        <v>206</v>
      </c>
      <c r="M1043" t="s">
        <v>207</v>
      </c>
      <c r="N1043" t="s">
        <v>566</v>
      </c>
      <c r="O1043" t="s">
        <v>82</v>
      </c>
      <c r="P1043" t="str">
        <f>"4170063625                    "</f>
        <v xml:space="preserve">4170063625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100.54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5</v>
      </c>
      <c r="BJ1043">
        <v>8.6</v>
      </c>
      <c r="BK1043">
        <v>9</v>
      </c>
      <c r="BL1043">
        <v>319.10000000000002</v>
      </c>
      <c r="BM1043">
        <v>47.87</v>
      </c>
      <c r="BN1043">
        <v>366.97</v>
      </c>
      <c r="BO1043">
        <v>366.97</v>
      </c>
      <c r="BQ1043" t="s">
        <v>567</v>
      </c>
      <c r="BR1043" t="s">
        <v>97</v>
      </c>
      <c r="BS1043" s="3">
        <v>45939</v>
      </c>
      <c r="BT1043" s="4">
        <v>0.35069444444444442</v>
      </c>
      <c r="BU1043" t="s">
        <v>1800</v>
      </c>
      <c r="BV1043" t="s">
        <v>86</v>
      </c>
      <c r="BY1043">
        <v>42804</v>
      </c>
      <c r="CA1043" t="s">
        <v>569</v>
      </c>
      <c r="CC1043" t="s">
        <v>207</v>
      </c>
      <c r="CD1043">
        <v>7945</v>
      </c>
      <c r="CE1043" t="s">
        <v>107</v>
      </c>
      <c r="CF1043" s="3">
        <v>45940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"080068398342"</f>
        <v>080068398342</v>
      </c>
      <c r="F1044" s="3">
        <v>45938</v>
      </c>
      <c r="G1044">
        <v>202607</v>
      </c>
      <c r="H1044" t="s">
        <v>79</v>
      </c>
      <c r="I1044" t="s">
        <v>80</v>
      </c>
      <c r="J1044" t="s">
        <v>91</v>
      </c>
      <c r="K1044" t="s">
        <v>78</v>
      </c>
      <c r="L1044" t="s">
        <v>206</v>
      </c>
      <c r="M1044" t="s">
        <v>207</v>
      </c>
      <c r="N1044" t="s">
        <v>656</v>
      </c>
      <c r="O1044" t="s">
        <v>82</v>
      </c>
      <c r="P1044" t="str">
        <f>"4170063514                    "</f>
        <v xml:space="preserve">4170063514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50.28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3</v>
      </c>
      <c r="BJ1044">
        <v>4.3</v>
      </c>
      <c r="BK1044">
        <v>4.5</v>
      </c>
      <c r="BL1044">
        <v>159.58000000000001</v>
      </c>
      <c r="BM1044">
        <v>23.94</v>
      </c>
      <c r="BN1044">
        <v>183.52</v>
      </c>
      <c r="BO1044">
        <v>183.52</v>
      </c>
      <c r="BQ1044" t="s">
        <v>657</v>
      </c>
      <c r="BR1044" t="s">
        <v>97</v>
      </c>
      <c r="BS1044" s="3">
        <v>45939</v>
      </c>
      <c r="BT1044" s="4">
        <v>0.39930555555555558</v>
      </c>
      <c r="BU1044" t="s">
        <v>658</v>
      </c>
      <c r="BV1044" t="s">
        <v>86</v>
      </c>
      <c r="BY1044">
        <v>21489</v>
      </c>
      <c r="CA1044" t="s">
        <v>211</v>
      </c>
      <c r="CC1044" t="s">
        <v>207</v>
      </c>
      <c r="CD1044">
        <v>7441</v>
      </c>
      <c r="CE1044" t="s">
        <v>191</v>
      </c>
      <c r="CF1044" s="3">
        <v>45940</v>
      </c>
      <c r="CI1044">
        <v>1</v>
      </c>
      <c r="CJ1044">
        <v>1</v>
      </c>
      <c r="CK1044">
        <v>21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"080068398425"</f>
        <v>080068398425</v>
      </c>
      <c r="F1045" s="3">
        <v>45938</v>
      </c>
      <c r="G1045">
        <v>202607</v>
      </c>
      <c r="H1045" t="s">
        <v>79</v>
      </c>
      <c r="I1045" t="s">
        <v>80</v>
      </c>
      <c r="J1045" t="s">
        <v>91</v>
      </c>
      <c r="K1045" t="s">
        <v>78</v>
      </c>
      <c r="L1045" t="s">
        <v>168</v>
      </c>
      <c r="M1045" t="s">
        <v>169</v>
      </c>
      <c r="N1045" t="s">
        <v>1801</v>
      </c>
      <c r="O1045" t="s">
        <v>95</v>
      </c>
      <c r="P1045" t="str">
        <f>"4170063622                    "</f>
        <v xml:space="preserve">4170063622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43.23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1.7</v>
      </c>
      <c r="BK1045">
        <v>3</v>
      </c>
      <c r="BL1045">
        <v>143.08000000000001</v>
      </c>
      <c r="BM1045">
        <v>21.46</v>
      </c>
      <c r="BN1045">
        <v>164.54</v>
      </c>
      <c r="BO1045">
        <v>164.54</v>
      </c>
      <c r="BQ1045" t="s">
        <v>1802</v>
      </c>
      <c r="BR1045" t="s">
        <v>97</v>
      </c>
      <c r="BS1045" s="3">
        <v>45940</v>
      </c>
      <c r="BT1045" s="4">
        <v>0.34375</v>
      </c>
      <c r="BU1045" t="s">
        <v>684</v>
      </c>
      <c r="BV1045" t="s">
        <v>90</v>
      </c>
      <c r="BW1045" t="s">
        <v>188</v>
      </c>
      <c r="BX1045" t="s">
        <v>189</v>
      </c>
      <c r="BY1045">
        <v>8512</v>
      </c>
      <c r="CC1045" t="s">
        <v>169</v>
      </c>
      <c r="CD1045" s="5" t="s">
        <v>839</v>
      </c>
      <c r="CE1045" t="s">
        <v>191</v>
      </c>
      <c r="CF1045" s="3">
        <v>45940</v>
      </c>
      <c r="CI1045">
        <v>1</v>
      </c>
      <c r="CJ1045">
        <v>2</v>
      </c>
      <c r="CK1045">
        <v>41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"080068398471"</f>
        <v>080068398471</v>
      </c>
      <c r="F1046" s="3">
        <v>45938</v>
      </c>
      <c r="G1046">
        <v>202607</v>
      </c>
      <c r="H1046" t="s">
        <v>79</v>
      </c>
      <c r="I1046" t="s">
        <v>80</v>
      </c>
      <c r="J1046" t="s">
        <v>91</v>
      </c>
      <c r="K1046" t="s">
        <v>78</v>
      </c>
      <c r="L1046" t="s">
        <v>985</v>
      </c>
      <c r="M1046" t="s">
        <v>986</v>
      </c>
      <c r="N1046" t="s">
        <v>1409</v>
      </c>
      <c r="O1046" t="s">
        <v>82</v>
      </c>
      <c r="P1046" t="str">
        <f>"4170063590                    "</f>
        <v xml:space="preserve">4170063590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22.36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70.959999999999994</v>
      </c>
      <c r="BM1046">
        <v>10.64</v>
      </c>
      <c r="BN1046">
        <v>81.599999999999994</v>
      </c>
      <c r="BO1046">
        <v>81.599999999999994</v>
      </c>
      <c r="BQ1046" t="s">
        <v>1410</v>
      </c>
      <c r="BR1046" t="s">
        <v>97</v>
      </c>
      <c r="BS1046" s="3">
        <v>45939</v>
      </c>
      <c r="BT1046" s="4">
        <v>0.3840277777777778</v>
      </c>
      <c r="BU1046" t="s">
        <v>1635</v>
      </c>
      <c r="BV1046" t="s">
        <v>86</v>
      </c>
      <c r="BY1046">
        <v>1200</v>
      </c>
      <c r="CA1046" t="s">
        <v>990</v>
      </c>
      <c r="CC1046" t="s">
        <v>986</v>
      </c>
      <c r="CD1046">
        <v>7600</v>
      </c>
      <c r="CE1046" t="s">
        <v>147</v>
      </c>
      <c r="CF1046" s="3">
        <v>45940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"080068398508"</f>
        <v>080068398508</v>
      </c>
      <c r="F1047" s="3">
        <v>45938</v>
      </c>
      <c r="G1047">
        <v>202607</v>
      </c>
      <c r="H1047" t="s">
        <v>79</v>
      </c>
      <c r="I1047" t="s">
        <v>80</v>
      </c>
      <c r="J1047" t="s">
        <v>91</v>
      </c>
      <c r="K1047" t="s">
        <v>78</v>
      </c>
      <c r="L1047" t="s">
        <v>446</v>
      </c>
      <c r="M1047" t="s">
        <v>447</v>
      </c>
      <c r="N1047" t="s">
        <v>448</v>
      </c>
      <c r="O1047" t="s">
        <v>82</v>
      </c>
      <c r="P1047" t="str">
        <f>"4170063641                    "</f>
        <v xml:space="preserve">4170063641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43.31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137.47</v>
      </c>
      <c r="BM1047">
        <v>20.62</v>
      </c>
      <c r="BN1047">
        <v>158.09</v>
      </c>
      <c r="BO1047">
        <v>158.09</v>
      </c>
      <c r="BQ1047" t="s">
        <v>449</v>
      </c>
      <c r="BR1047" t="s">
        <v>97</v>
      </c>
      <c r="BS1047" s="3">
        <v>45939</v>
      </c>
      <c r="BT1047" s="4">
        <v>0.49861111111111112</v>
      </c>
      <c r="BU1047" t="s">
        <v>1537</v>
      </c>
      <c r="BV1047" t="s">
        <v>86</v>
      </c>
      <c r="BY1047">
        <v>1200</v>
      </c>
      <c r="CA1047" t="s">
        <v>452</v>
      </c>
      <c r="CC1047" t="s">
        <v>447</v>
      </c>
      <c r="CD1047">
        <v>7130</v>
      </c>
      <c r="CE1047" t="s">
        <v>147</v>
      </c>
      <c r="CF1047" s="3">
        <v>45940</v>
      </c>
      <c r="CI1047">
        <v>1</v>
      </c>
      <c r="CJ1047">
        <v>1</v>
      </c>
      <c r="CK1047">
        <v>23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"080068399120"</f>
        <v>080068399120</v>
      </c>
      <c r="F1048" s="3">
        <v>45938</v>
      </c>
      <c r="G1048">
        <v>202607</v>
      </c>
      <c r="H1048" t="s">
        <v>79</v>
      </c>
      <c r="I1048" t="s">
        <v>80</v>
      </c>
      <c r="J1048" t="s">
        <v>91</v>
      </c>
      <c r="K1048" t="s">
        <v>78</v>
      </c>
      <c r="L1048" t="s">
        <v>148</v>
      </c>
      <c r="M1048" t="s">
        <v>149</v>
      </c>
      <c r="N1048" t="s">
        <v>497</v>
      </c>
      <c r="O1048" t="s">
        <v>95</v>
      </c>
      <c r="P1048" t="str">
        <f>"4170063636                    "</f>
        <v xml:space="preserve">4170063636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141.61000000000001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16.739999999999998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65</v>
      </c>
      <c r="BJ1048">
        <v>125.5</v>
      </c>
      <c r="BK1048">
        <v>126</v>
      </c>
      <c r="BL1048">
        <v>472.06</v>
      </c>
      <c r="BM1048">
        <v>70.81</v>
      </c>
      <c r="BN1048">
        <v>542.87</v>
      </c>
      <c r="BO1048">
        <v>542.87</v>
      </c>
      <c r="BQ1048" t="s">
        <v>498</v>
      </c>
      <c r="BR1048" t="s">
        <v>97</v>
      </c>
      <c r="BS1048" s="3">
        <v>45939</v>
      </c>
      <c r="BT1048" s="4">
        <v>0.4861111111111111</v>
      </c>
      <c r="BU1048" t="s">
        <v>1803</v>
      </c>
      <c r="BV1048" t="s">
        <v>86</v>
      </c>
      <c r="BY1048">
        <v>627669</v>
      </c>
      <c r="BZ1048" t="s">
        <v>30</v>
      </c>
      <c r="CC1048" t="s">
        <v>149</v>
      </c>
      <c r="CD1048">
        <v>2188</v>
      </c>
      <c r="CE1048" t="s">
        <v>1122</v>
      </c>
      <c r="CF1048" s="3">
        <v>45939</v>
      </c>
      <c r="CI1048">
        <v>1</v>
      </c>
      <c r="CJ1048">
        <v>1</v>
      </c>
      <c r="CK1048">
        <v>42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"080068399675"</f>
        <v>080068399675</v>
      </c>
      <c r="F1049" s="3">
        <v>45938</v>
      </c>
      <c r="G1049">
        <v>202607</v>
      </c>
      <c r="H1049" t="s">
        <v>79</v>
      </c>
      <c r="I1049" t="s">
        <v>80</v>
      </c>
      <c r="J1049" t="s">
        <v>91</v>
      </c>
      <c r="K1049" t="s">
        <v>78</v>
      </c>
      <c r="L1049" t="s">
        <v>322</v>
      </c>
      <c r="M1049" t="s">
        <v>322</v>
      </c>
      <c r="N1049" t="s">
        <v>483</v>
      </c>
      <c r="O1049" t="s">
        <v>95</v>
      </c>
      <c r="P1049" t="str">
        <f>"4170063482                    "</f>
        <v xml:space="preserve">4170063482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70.319999999999993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16</v>
      </c>
      <c r="BJ1049">
        <v>17.7</v>
      </c>
      <c r="BK1049">
        <v>18</v>
      </c>
      <c r="BL1049">
        <v>229.05</v>
      </c>
      <c r="BM1049">
        <v>34.36</v>
      </c>
      <c r="BN1049">
        <v>263.41000000000003</v>
      </c>
      <c r="BO1049">
        <v>263.41000000000003</v>
      </c>
      <c r="BQ1049" t="s">
        <v>486</v>
      </c>
      <c r="BR1049" t="s">
        <v>97</v>
      </c>
      <c r="BS1049" s="3">
        <v>45940</v>
      </c>
      <c r="BT1049" s="4">
        <v>0.45833333333333331</v>
      </c>
      <c r="BU1049" t="s">
        <v>1804</v>
      </c>
      <c r="BV1049" t="s">
        <v>86</v>
      </c>
      <c r="BY1049">
        <v>88320</v>
      </c>
      <c r="CC1049" t="s">
        <v>322</v>
      </c>
      <c r="CD1049">
        <v>7646</v>
      </c>
      <c r="CE1049" t="s">
        <v>191</v>
      </c>
      <c r="CF1049" s="3">
        <v>45943</v>
      </c>
      <c r="CI1049">
        <v>3</v>
      </c>
      <c r="CJ1049">
        <v>2</v>
      </c>
      <c r="CK1049">
        <v>43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"080068399805"</f>
        <v>080068399805</v>
      </c>
      <c r="F1050" s="3">
        <v>45938</v>
      </c>
      <c r="G1050">
        <v>202607</v>
      </c>
      <c r="H1050" t="s">
        <v>79</v>
      </c>
      <c r="I1050" t="s">
        <v>80</v>
      </c>
      <c r="J1050" t="s">
        <v>91</v>
      </c>
      <c r="K1050" t="s">
        <v>78</v>
      </c>
      <c r="L1050" t="s">
        <v>218</v>
      </c>
      <c r="M1050" t="s">
        <v>219</v>
      </c>
      <c r="N1050" t="s">
        <v>520</v>
      </c>
      <c r="O1050" t="s">
        <v>226</v>
      </c>
      <c r="P1050" t="str">
        <f>"4170063571                    "</f>
        <v xml:space="preserve">4170063571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35.1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2</v>
      </c>
      <c r="BI1050">
        <v>17</v>
      </c>
      <c r="BJ1050">
        <v>8.6</v>
      </c>
      <c r="BK1050">
        <v>17</v>
      </c>
      <c r="BL1050">
        <v>111.41</v>
      </c>
      <c r="BM1050">
        <v>16.71</v>
      </c>
      <c r="BN1050">
        <v>128.12</v>
      </c>
      <c r="BO1050">
        <v>128.12</v>
      </c>
      <c r="BQ1050" t="s">
        <v>1805</v>
      </c>
      <c r="BR1050" t="s">
        <v>97</v>
      </c>
      <c r="BS1050" s="3">
        <v>45939</v>
      </c>
      <c r="BT1050" s="4">
        <v>0.45833333333333331</v>
      </c>
      <c r="BU1050" t="s">
        <v>1806</v>
      </c>
      <c r="BV1050" t="s">
        <v>86</v>
      </c>
      <c r="BY1050">
        <v>43168</v>
      </c>
      <c r="CA1050" t="s">
        <v>1434</v>
      </c>
      <c r="CC1050" t="s">
        <v>219</v>
      </c>
      <c r="CD1050">
        <v>1559</v>
      </c>
      <c r="CE1050" t="s">
        <v>191</v>
      </c>
      <c r="CF1050" s="3">
        <v>45939</v>
      </c>
      <c r="CI1050">
        <v>1</v>
      </c>
      <c r="CJ1050">
        <v>1</v>
      </c>
      <c r="CK1050">
        <v>32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"080068399861"</f>
        <v>080068399861</v>
      </c>
      <c r="F1051" s="3">
        <v>45938</v>
      </c>
      <c r="G1051">
        <v>202607</v>
      </c>
      <c r="H1051" t="s">
        <v>79</v>
      </c>
      <c r="I1051" t="s">
        <v>80</v>
      </c>
      <c r="J1051" t="s">
        <v>91</v>
      </c>
      <c r="K1051" t="s">
        <v>78</v>
      </c>
      <c r="L1051" t="s">
        <v>1807</v>
      </c>
      <c r="M1051" t="s">
        <v>1808</v>
      </c>
      <c r="N1051" t="s">
        <v>1809</v>
      </c>
      <c r="O1051" t="s">
        <v>82</v>
      </c>
      <c r="P1051" t="str">
        <f>"4170063649                    "</f>
        <v xml:space="preserve">4170063649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43.31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1.9</v>
      </c>
      <c r="BK1051">
        <v>2</v>
      </c>
      <c r="BL1051">
        <v>137.47</v>
      </c>
      <c r="BM1051">
        <v>20.62</v>
      </c>
      <c r="BN1051">
        <v>158.09</v>
      </c>
      <c r="BO1051">
        <v>158.09</v>
      </c>
      <c r="BQ1051" t="s">
        <v>336</v>
      </c>
      <c r="BR1051" t="s">
        <v>97</v>
      </c>
      <c r="BS1051" s="3">
        <v>45939</v>
      </c>
      <c r="BT1051" s="4">
        <v>0.66041666666666665</v>
      </c>
      <c r="BU1051" t="s">
        <v>1810</v>
      </c>
      <c r="BV1051" t="s">
        <v>86</v>
      </c>
      <c r="BY1051">
        <v>9600</v>
      </c>
      <c r="CA1051" t="s">
        <v>1811</v>
      </c>
      <c r="CC1051" t="s">
        <v>1808</v>
      </c>
      <c r="CD1051">
        <v>7230</v>
      </c>
      <c r="CE1051" t="s">
        <v>191</v>
      </c>
      <c r="CF1051" s="3">
        <v>45940</v>
      </c>
      <c r="CI1051">
        <v>2</v>
      </c>
      <c r="CJ1051">
        <v>1</v>
      </c>
      <c r="CK1051">
        <v>23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"080068399907"</f>
        <v>080068399907</v>
      </c>
      <c r="F1052" s="3">
        <v>45938</v>
      </c>
      <c r="G1052">
        <v>202607</v>
      </c>
      <c r="H1052" t="s">
        <v>79</v>
      </c>
      <c r="I1052" t="s">
        <v>80</v>
      </c>
      <c r="J1052" t="s">
        <v>91</v>
      </c>
      <c r="K1052" t="s">
        <v>78</v>
      </c>
      <c r="L1052" t="s">
        <v>322</v>
      </c>
      <c r="M1052" t="s">
        <v>322</v>
      </c>
      <c r="N1052" t="s">
        <v>481</v>
      </c>
      <c r="O1052" t="s">
        <v>82</v>
      </c>
      <c r="P1052" t="str">
        <f>"4170063650                    "</f>
        <v xml:space="preserve">4170063650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43.31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137.47</v>
      </c>
      <c r="BM1052">
        <v>20.62</v>
      </c>
      <c r="BN1052">
        <v>158.09</v>
      </c>
      <c r="BO1052">
        <v>158.09</v>
      </c>
      <c r="BQ1052" t="s">
        <v>482</v>
      </c>
      <c r="BR1052" t="s">
        <v>97</v>
      </c>
      <c r="BS1052" s="3">
        <v>45939</v>
      </c>
      <c r="BT1052" s="4">
        <v>0.42986111111111114</v>
      </c>
      <c r="BU1052" t="s">
        <v>1771</v>
      </c>
      <c r="BV1052" t="s">
        <v>86</v>
      </c>
      <c r="BY1052">
        <v>1200</v>
      </c>
      <c r="CA1052" t="s">
        <v>1637</v>
      </c>
      <c r="CC1052" t="s">
        <v>322</v>
      </c>
      <c r="CD1052">
        <v>7646</v>
      </c>
      <c r="CE1052" t="s">
        <v>147</v>
      </c>
      <c r="CF1052" s="3">
        <v>45940</v>
      </c>
      <c r="CI1052">
        <v>1</v>
      </c>
      <c r="CJ1052">
        <v>1</v>
      </c>
      <c r="CK1052">
        <v>23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"080068399967"</f>
        <v>080068399967</v>
      </c>
      <c r="F1053" s="3">
        <v>45938</v>
      </c>
      <c r="G1053">
        <v>202607</v>
      </c>
      <c r="H1053" t="s">
        <v>79</v>
      </c>
      <c r="I1053" t="s">
        <v>80</v>
      </c>
      <c r="J1053" t="s">
        <v>91</v>
      </c>
      <c r="K1053" t="s">
        <v>78</v>
      </c>
      <c r="L1053" t="s">
        <v>300</v>
      </c>
      <c r="M1053" t="s">
        <v>301</v>
      </c>
      <c r="N1053" t="s">
        <v>335</v>
      </c>
      <c r="O1053" t="s">
        <v>82</v>
      </c>
      <c r="P1053" t="str">
        <f>"4170063651                    "</f>
        <v xml:space="preserve">4170063651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31.44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99.79</v>
      </c>
      <c r="BM1053">
        <v>14.97</v>
      </c>
      <c r="BN1053">
        <v>114.76</v>
      </c>
      <c r="BO1053">
        <v>114.76</v>
      </c>
      <c r="BQ1053" t="s">
        <v>475</v>
      </c>
      <c r="BR1053" t="s">
        <v>97</v>
      </c>
      <c r="BS1053" s="3">
        <v>45939</v>
      </c>
      <c r="BT1053" s="4">
        <v>0.38680555555555557</v>
      </c>
      <c r="BU1053" t="s">
        <v>1792</v>
      </c>
      <c r="BV1053" t="s">
        <v>86</v>
      </c>
      <c r="BY1053">
        <v>1200</v>
      </c>
      <c r="CA1053" t="s">
        <v>974</v>
      </c>
      <c r="CC1053" t="s">
        <v>301</v>
      </c>
      <c r="CD1053">
        <v>1754</v>
      </c>
      <c r="CE1053" t="s">
        <v>147</v>
      </c>
      <c r="CF1053" s="3">
        <v>45939</v>
      </c>
      <c r="CI1053">
        <v>1</v>
      </c>
      <c r="CJ1053">
        <v>1</v>
      </c>
      <c r="CK1053">
        <v>24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"080068400131"</f>
        <v>080068400131</v>
      </c>
      <c r="F1054" s="3">
        <v>45938</v>
      </c>
      <c r="G1054">
        <v>202607</v>
      </c>
      <c r="H1054" t="s">
        <v>79</v>
      </c>
      <c r="I1054" t="s">
        <v>80</v>
      </c>
      <c r="J1054" t="s">
        <v>91</v>
      </c>
      <c r="K1054" t="s">
        <v>78</v>
      </c>
      <c r="L1054" t="s">
        <v>322</v>
      </c>
      <c r="M1054" t="s">
        <v>322</v>
      </c>
      <c r="N1054" t="s">
        <v>483</v>
      </c>
      <c r="O1054" t="s">
        <v>82</v>
      </c>
      <c r="P1054" t="str">
        <f>"4170063497                    "</f>
        <v xml:space="preserve">4170063497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121.55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6</v>
      </c>
      <c r="BJ1054">
        <v>4.3</v>
      </c>
      <c r="BK1054">
        <v>6</v>
      </c>
      <c r="BL1054">
        <v>385.79</v>
      </c>
      <c r="BM1054">
        <v>57.87</v>
      </c>
      <c r="BN1054">
        <v>443.66</v>
      </c>
      <c r="BO1054">
        <v>443.66</v>
      </c>
      <c r="BQ1054" t="s">
        <v>486</v>
      </c>
      <c r="BR1054" t="s">
        <v>97</v>
      </c>
      <c r="BS1054" s="3">
        <v>45939</v>
      </c>
      <c r="BT1054" s="4">
        <v>0.44722222222222224</v>
      </c>
      <c r="BU1054" t="s">
        <v>1668</v>
      </c>
      <c r="BV1054" t="s">
        <v>86</v>
      </c>
      <c r="BY1054">
        <v>21489</v>
      </c>
      <c r="CA1054" t="s">
        <v>1669</v>
      </c>
      <c r="CC1054" t="s">
        <v>322</v>
      </c>
      <c r="CD1054">
        <v>7646</v>
      </c>
      <c r="CE1054" t="s">
        <v>191</v>
      </c>
      <c r="CF1054" s="3">
        <v>45940</v>
      </c>
      <c r="CI1054">
        <v>1</v>
      </c>
      <c r="CJ1054">
        <v>1</v>
      </c>
      <c r="CK1054">
        <v>23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"080068400148"</f>
        <v>080068400148</v>
      </c>
      <c r="F1055" s="3">
        <v>45938</v>
      </c>
      <c r="G1055">
        <v>202607</v>
      </c>
      <c r="H1055" t="s">
        <v>79</v>
      </c>
      <c r="I1055" t="s">
        <v>80</v>
      </c>
      <c r="J1055" t="s">
        <v>91</v>
      </c>
      <c r="K1055" t="s">
        <v>78</v>
      </c>
      <c r="L1055" t="s">
        <v>102</v>
      </c>
      <c r="M1055" t="s">
        <v>103</v>
      </c>
      <c r="N1055" t="s">
        <v>1812</v>
      </c>
      <c r="O1055" t="s">
        <v>226</v>
      </c>
      <c r="P1055" t="str">
        <f>"4170063466                    "</f>
        <v xml:space="preserve">4170063466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17.47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4</v>
      </c>
      <c r="BJ1055">
        <v>4.8</v>
      </c>
      <c r="BK1055">
        <v>5</v>
      </c>
      <c r="BL1055">
        <v>55.44</v>
      </c>
      <c r="BM1055">
        <v>8.32</v>
      </c>
      <c r="BN1055">
        <v>63.76</v>
      </c>
      <c r="BO1055">
        <v>63.76</v>
      </c>
      <c r="BQ1055" t="s">
        <v>1813</v>
      </c>
      <c r="BR1055" t="s">
        <v>97</v>
      </c>
      <c r="BS1055" s="3">
        <v>45939</v>
      </c>
      <c r="BT1055" s="4">
        <v>0.35138888888888886</v>
      </c>
      <c r="BU1055" t="s">
        <v>1814</v>
      </c>
      <c r="BV1055" t="s">
        <v>86</v>
      </c>
      <c r="BY1055">
        <v>23751</v>
      </c>
      <c r="CA1055" t="s">
        <v>621</v>
      </c>
      <c r="CC1055" t="s">
        <v>103</v>
      </c>
      <c r="CD1055">
        <v>1451</v>
      </c>
      <c r="CE1055" t="s">
        <v>191</v>
      </c>
      <c r="CF1055" s="3">
        <v>45939</v>
      </c>
      <c r="CI1055">
        <v>1</v>
      </c>
      <c r="CJ1055">
        <v>1</v>
      </c>
      <c r="CK1055">
        <v>32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"080068400680"</f>
        <v>080068400680</v>
      </c>
      <c r="F1056" s="3">
        <v>45938</v>
      </c>
      <c r="G1056">
        <v>202607</v>
      </c>
      <c r="H1056" t="s">
        <v>79</v>
      </c>
      <c r="I1056" t="s">
        <v>80</v>
      </c>
      <c r="J1056" t="s">
        <v>91</v>
      </c>
      <c r="K1056" t="s">
        <v>78</v>
      </c>
      <c r="L1056" t="s">
        <v>168</v>
      </c>
      <c r="M1056" t="s">
        <v>169</v>
      </c>
      <c r="N1056" t="s">
        <v>923</v>
      </c>
      <c r="O1056" t="s">
        <v>95</v>
      </c>
      <c r="P1056" t="str">
        <f>"4170063204                    "</f>
        <v xml:space="preserve">4170063204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43.23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</v>
      </c>
      <c r="BJ1056">
        <v>3.4</v>
      </c>
      <c r="BK1056">
        <v>4</v>
      </c>
      <c r="BL1056">
        <v>143.08000000000001</v>
      </c>
      <c r="BM1056">
        <v>21.46</v>
      </c>
      <c r="BN1056">
        <v>164.54</v>
      </c>
      <c r="BO1056">
        <v>164.54</v>
      </c>
      <c r="BQ1056" t="s">
        <v>924</v>
      </c>
      <c r="BR1056" t="s">
        <v>97</v>
      </c>
      <c r="BS1056" s="3">
        <v>45939</v>
      </c>
      <c r="BT1056" s="4">
        <v>0.44722222222222224</v>
      </c>
      <c r="BU1056" t="s">
        <v>1815</v>
      </c>
      <c r="BV1056" t="s">
        <v>86</v>
      </c>
      <c r="BY1056">
        <v>16965</v>
      </c>
      <c r="CA1056">
        <v>9107126013089</v>
      </c>
      <c r="CC1056" t="s">
        <v>169</v>
      </c>
      <c r="CD1056" s="5" t="s">
        <v>926</v>
      </c>
      <c r="CE1056" t="s">
        <v>191</v>
      </c>
      <c r="CF1056" s="3">
        <v>45939</v>
      </c>
      <c r="CI1056">
        <v>1</v>
      </c>
      <c r="CJ1056">
        <v>1</v>
      </c>
      <c r="CK1056">
        <v>41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"080068400738"</f>
        <v>080068400738</v>
      </c>
      <c r="F1057" s="3">
        <v>45938</v>
      </c>
      <c r="G1057">
        <v>202607</v>
      </c>
      <c r="H1057" t="s">
        <v>79</v>
      </c>
      <c r="I1057" t="s">
        <v>80</v>
      </c>
      <c r="J1057" t="s">
        <v>91</v>
      </c>
      <c r="K1057" t="s">
        <v>78</v>
      </c>
      <c r="L1057" t="s">
        <v>195</v>
      </c>
      <c r="M1057" t="s">
        <v>196</v>
      </c>
      <c r="N1057" t="s">
        <v>197</v>
      </c>
      <c r="O1057" t="s">
        <v>95</v>
      </c>
      <c r="P1057" t="str">
        <f>"4170063670                    "</f>
        <v xml:space="preserve">4170063670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60.97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15</v>
      </c>
      <c r="BJ1057">
        <v>12.3</v>
      </c>
      <c r="BK1057">
        <v>15</v>
      </c>
      <c r="BL1057">
        <v>199.39</v>
      </c>
      <c r="BM1057">
        <v>29.91</v>
      </c>
      <c r="BN1057">
        <v>229.3</v>
      </c>
      <c r="BO1057">
        <v>229.3</v>
      </c>
      <c r="BQ1057" t="s">
        <v>198</v>
      </c>
      <c r="BR1057" t="s">
        <v>97</v>
      </c>
      <c r="BS1057" s="3">
        <v>45939</v>
      </c>
      <c r="BT1057" s="4">
        <v>0.50416666666666665</v>
      </c>
      <c r="BU1057" t="s">
        <v>1328</v>
      </c>
      <c r="BV1057" t="s">
        <v>86</v>
      </c>
      <c r="BY1057">
        <v>61440</v>
      </c>
      <c r="CA1057" t="s">
        <v>200</v>
      </c>
      <c r="CC1057" t="s">
        <v>196</v>
      </c>
      <c r="CD1057">
        <v>1900</v>
      </c>
      <c r="CE1057" t="s">
        <v>107</v>
      </c>
      <c r="CF1057" s="3">
        <v>45939</v>
      </c>
      <c r="CI1057">
        <v>1</v>
      </c>
      <c r="CJ1057">
        <v>1</v>
      </c>
      <c r="CK1057">
        <v>43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"080068400845"</f>
        <v>080068400845</v>
      </c>
      <c r="F1058" s="3">
        <v>45938</v>
      </c>
      <c r="G1058">
        <v>202607</v>
      </c>
      <c r="H1058" t="s">
        <v>79</v>
      </c>
      <c r="I1058" t="s">
        <v>80</v>
      </c>
      <c r="J1058" t="s">
        <v>91</v>
      </c>
      <c r="K1058" t="s">
        <v>78</v>
      </c>
      <c r="L1058" t="s">
        <v>306</v>
      </c>
      <c r="M1058" t="s">
        <v>307</v>
      </c>
      <c r="N1058" t="s">
        <v>335</v>
      </c>
      <c r="O1058" t="s">
        <v>95</v>
      </c>
      <c r="P1058" t="str">
        <f>"4170063675                    "</f>
        <v xml:space="preserve">4170063675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50.37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16</v>
      </c>
      <c r="BJ1058">
        <v>18.3</v>
      </c>
      <c r="BK1058">
        <v>19</v>
      </c>
      <c r="BL1058">
        <v>165.74</v>
      </c>
      <c r="BM1058">
        <v>24.86</v>
      </c>
      <c r="BN1058">
        <v>190.6</v>
      </c>
      <c r="BO1058">
        <v>190.6</v>
      </c>
      <c r="BQ1058" t="s">
        <v>475</v>
      </c>
      <c r="BR1058" t="s">
        <v>97</v>
      </c>
      <c r="BS1058" s="3">
        <v>45939</v>
      </c>
      <c r="BT1058" s="4">
        <v>0.54166666666666663</v>
      </c>
      <c r="BU1058" t="s">
        <v>1704</v>
      </c>
      <c r="BV1058" t="s">
        <v>86</v>
      </c>
      <c r="BY1058">
        <v>91264</v>
      </c>
      <c r="CA1058" t="s">
        <v>157</v>
      </c>
      <c r="CC1058" t="s">
        <v>307</v>
      </c>
      <c r="CD1058">
        <v>4133</v>
      </c>
      <c r="CE1058" t="s">
        <v>191</v>
      </c>
      <c r="CF1058" s="3">
        <v>45944</v>
      </c>
      <c r="CI1058">
        <v>1</v>
      </c>
      <c r="CJ1058">
        <v>1</v>
      </c>
      <c r="CK1058">
        <v>41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"080068400854"</f>
        <v>080068400854</v>
      </c>
      <c r="F1059" s="3">
        <v>45938</v>
      </c>
      <c r="G1059">
        <v>202607</v>
      </c>
      <c r="H1059" t="s">
        <v>79</v>
      </c>
      <c r="I1059" t="s">
        <v>80</v>
      </c>
      <c r="J1059" t="s">
        <v>91</v>
      </c>
      <c r="K1059" t="s">
        <v>78</v>
      </c>
      <c r="L1059" t="s">
        <v>453</v>
      </c>
      <c r="M1059" t="s">
        <v>454</v>
      </c>
      <c r="N1059" t="s">
        <v>1816</v>
      </c>
      <c r="O1059" t="s">
        <v>82</v>
      </c>
      <c r="P1059" t="str">
        <f>"4170063600                    "</f>
        <v xml:space="preserve">4170063600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78.2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7</v>
      </c>
      <c r="BJ1059">
        <v>5.8</v>
      </c>
      <c r="BK1059">
        <v>7</v>
      </c>
      <c r="BL1059">
        <v>248.2</v>
      </c>
      <c r="BM1059">
        <v>37.229999999999997</v>
      </c>
      <c r="BN1059">
        <v>285.43</v>
      </c>
      <c r="BO1059">
        <v>285.43</v>
      </c>
      <c r="BQ1059" t="s">
        <v>1817</v>
      </c>
      <c r="BR1059" t="s">
        <v>97</v>
      </c>
      <c r="BS1059" s="3">
        <v>45939</v>
      </c>
      <c r="BT1059" s="4">
        <v>0.44444444444444442</v>
      </c>
      <c r="BU1059" t="s">
        <v>1818</v>
      </c>
      <c r="BV1059" t="s">
        <v>90</v>
      </c>
      <c r="BW1059" t="s">
        <v>136</v>
      </c>
      <c r="BX1059" t="s">
        <v>787</v>
      </c>
      <c r="BY1059">
        <v>29184</v>
      </c>
      <c r="CA1059" t="s">
        <v>742</v>
      </c>
      <c r="CC1059" t="s">
        <v>454</v>
      </c>
      <c r="CD1059">
        <v>3620</v>
      </c>
      <c r="CE1059" t="s">
        <v>107</v>
      </c>
      <c r="CF1059" s="3">
        <v>45940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"080068400951"</f>
        <v>080068400951</v>
      </c>
      <c r="F1060" s="3">
        <v>45938</v>
      </c>
      <c r="G1060">
        <v>202607</v>
      </c>
      <c r="H1060" t="s">
        <v>79</v>
      </c>
      <c r="I1060" t="s">
        <v>80</v>
      </c>
      <c r="J1060" t="s">
        <v>91</v>
      </c>
      <c r="K1060" t="s">
        <v>78</v>
      </c>
      <c r="L1060" t="s">
        <v>121</v>
      </c>
      <c r="M1060" t="s">
        <v>122</v>
      </c>
      <c r="N1060" t="s">
        <v>123</v>
      </c>
      <c r="O1060" t="s">
        <v>82</v>
      </c>
      <c r="P1060" t="str">
        <f>"4170063656                    "</f>
        <v xml:space="preserve">4170063656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22.36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70.959999999999994</v>
      </c>
      <c r="BM1060">
        <v>10.64</v>
      </c>
      <c r="BN1060">
        <v>81.599999999999994</v>
      </c>
      <c r="BO1060">
        <v>81.599999999999994</v>
      </c>
      <c r="BQ1060" t="s">
        <v>124</v>
      </c>
      <c r="BR1060" t="s">
        <v>97</v>
      </c>
      <c r="BS1060" s="3">
        <v>45939</v>
      </c>
      <c r="BT1060" s="4">
        <v>0.35833333333333334</v>
      </c>
      <c r="BU1060" t="s">
        <v>1611</v>
      </c>
      <c r="BV1060" t="s">
        <v>86</v>
      </c>
      <c r="BY1060">
        <v>1200</v>
      </c>
      <c r="CA1060" t="s">
        <v>126</v>
      </c>
      <c r="CC1060" t="s">
        <v>122</v>
      </c>
      <c r="CD1060">
        <v>4000</v>
      </c>
      <c r="CE1060" t="s">
        <v>147</v>
      </c>
      <c r="CF1060" s="3">
        <v>45939</v>
      </c>
      <c r="CI1060">
        <v>1</v>
      </c>
      <c r="CJ1060">
        <v>1</v>
      </c>
      <c r="CK1060">
        <v>21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"080068400960"</f>
        <v>080068400960</v>
      </c>
      <c r="F1061" s="3">
        <v>45938</v>
      </c>
      <c r="G1061">
        <v>202607</v>
      </c>
      <c r="H1061" t="s">
        <v>79</v>
      </c>
      <c r="I1061" t="s">
        <v>80</v>
      </c>
      <c r="J1061" t="s">
        <v>91</v>
      </c>
      <c r="K1061" t="s">
        <v>78</v>
      </c>
      <c r="L1061" t="s">
        <v>271</v>
      </c>
      <c r="M1061" t="s">
        <v>272</v>
      </c>
      <c r="N1061" t="s">
        <v>368</v>
      </c>
      <c r="O1061" t="s">
        <v>82</v>
      </c>
      <c r="P1061" t="str">
        <f>"4170063673                    "</f>
        <v xml:space="preserve">4170063673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17.46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</v>
      </c>
      <c r="BJ1061">
        <v>1.1000000000000001</v>
      </c>
      <c r="BK1061">
        <v>2</v>
      </c>
      <c r="BL1061">
        <v>55.42</v>
      </c>
      <c r="BM1061">
        <v>8.31</v>
      </c>
      <c r="BN1061">
        <v>63.73</v>
      </c>
      <c r="BO1061">
        <v>63.73</v>
      </c>
      <c r="BQ1061" t="s">
        <v>369</v>
      </c>
      <c r="BR1061" t="s">
        <v>97</v>
      </c>
      <c r="BS1061" s="3">
        <v>45939</v>
      </c>
      <c r="BT1061" s="4">
        <v>0.39166666666666666</v>
      </c>
      <c r="BU1061" t="s">
        <v>370</v>
      </c>
      <c r="BV1061" t="s">
        <v>86</v>
      </c>
      <c r="BY1061">
        <v>5510</v>
      </c>
      <c r="CA1061" t="s">
        <v>371</v>
      </c>
      <c r="CC1061" t="s">
        <v>272</v>
      </c>
      <c r="CD1061">
        <v>1401</v>
      </c>
      <c r="CE1061" t="s">
        <v>191</v>
      </c>
      <c r="CF1061" s="3">
        <v>45939</v>
      </c>
      <c r="CI1061">
        <v>1</v>
      </c>
      <c r="CJ1061">
        <v>1</v>
      </c>
      <c r="CK1061">
        <v>22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"080068400967"</f>
        <v>080068400967</v>
      </c>
      <c r="F1062" s="3">
        <v>45938</v>
      </c>
      <c r="G1062">
        <v>202607</v>
      </c>
      <c r="H1062" t="s">
        <v>79</v>
      </c>
      <c r="I1062" t="s">
        <v>80</v>
      </c>
      <c r="J1062" t="s">
        <v>91</v>
      </c>
      <c r="K1062" t="s">
        <v>78</v>
      </c>
      <c r="L1062" t="s">
        <v>148</v>
      </c>
      <c r="M1062" t="s">
        <v>149</v>
      </c>
      <c r="N1062" t="s">
        <v>497</v>
      </c>
      <c r="O1062" t="s">
        <v>82</v>
      </c>
      <c r="P1062" t="str">
        <f>"4170063634                    "</f>
        <v xml:space="preserve">4170063634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17.46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16.739999999999998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72.16</v>
      </c>
      <c r="BM1062">
        <v>10.82</v>
      </c>
      <c r="BN1062">
        <v>82.98</v>
      </c>
      <c r="BO1062">
        <v>82.98</v>
      </c>
      <c r="BQ1062" t="s">
        <v>498</v>
      </c>
      <c r="BR1062" t="s">
        <v>97</v>
      </c>
      <c r="BS1062" s="3">
        <v>45939</v>
      </c>
      <c r="BT1062" s="4">
        <v>0.40277777777777779</v>
      </c>
      <c r="BU1062" t="s">
        <v>499</v>
      </c>
      <c r="BV1062" t="s">
        <v>86</v>
      </c>
      <c r="BY1062">
        <v>1200</v>
      </c>
      <c r="BZ1062" t="s">
        <v>30</v>
      </c>
      <c r="CA1062" t="s">
        <v>501</v>
      </c>
      <c r="CC1062" t="s">
        <v>149</v>
      </c>
      <c r="CD1062">
        <v>2188</v>
      </c>
      <c r="CE1062" t="s">
        <v>147</v>
      </c>
      <c r="CF1062" s="3">
        <v>45940</v>
      </c>
      <c r="CI1062">
        <v>1</v>
      </c>
      <c r="CJ1062">
        <v>1</v>
      </c>
      <c r="CK1062">
        <v>22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"080068400983"</f>
        <v>080068400983</v>
      </c>
      <c r="F1063" s="3">
        <v>45938</v>
      </c>
      <c r="G1063">
        <v>202607</v>
      </c>
      <c r="H1063" t="s">
        <v>79</v>
      </c>
      <c r="I1063" t="s">
        <v>80</v>
      </c>
      <c r="J1063" t="s">
        <v>91</v>
      </c>
      <c r="K1063" t="s">
        <v>78</v>
      </c>
      <c r="L1063" t="s">
        <v>79</v>
      </c>
      <c r="M1063" t="s">
        <v>80</v>
      </c>
      <c r="N1063" t="s">
        <v>1040</v>
      </c>
      <c r="O1063" t="s">
        <v>82</v>
      </c>
      <c r="P1063" t="str">
        <f>"4170063632                    "</f>
        <v xml:space="preserve">4170063632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17.46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55.42</v>
      </c>
      <c r="BM1063">
        <v>8.31</v>
      </c>
      <c r="BN1063">
        <v>63.73</v>
      </c>
      <c r="BO1063">
        <v>63.73</v>
      </c>
      <c r="BQ1063" t="s">
        <v>1041</v>
      </c>
      <c r="BR1063" t="s">
        <v>97</v>
      </c>
      <c r="BS1063" s="3">
        <v>45939</v>
      </c>
      <c r="BT1063" s="4">
        <v>0.29166666666666669</v>
      </c>
      <c r="BU1063" t="s">
        <v>1166</v>
      </c>
      <c r="BV1063" t="s">
        <v>86</v>
      </c>
      <c r="BY1063">
        <v>1200</v>
      </c>
      <c r="CC1063" t="s">
        <v>80</v>
      </c>
      <c r="CD1063">
        <v>1600</v>
      </c>
      <c r="CE1063" t="s">
        <v>147</v>
      </c>
      <c r="CF1063" s="3">
        <v>45939</v>
      </c>
      <c r="CI1063">
        <v>1</v>
      </c>
      <c r="CJ1063">
        <v>1</v>
      </c>
      <c r="CK1063">
        <v>22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"080068401001"</f>
        <v>080068401001</v>
      </c>
      <c r="F1064" s="3">
        <v>45938</v>
      </c>
      <c r="G1064">
        <v>202607</v>
      </c>
      <c r="H1064" t="s">
        <v>79</v>
      </c>
      <c r="I1064" t="s">
        <v>80</v>
      </c>
      <c r="J1064" t="s">
        <v>91</v>
      </c>
      <c r="K1064" t="s">
        <v>78</v>
      </c>
      <c r="L1064" t="s">
        <v>121</v>
      </c>
      <c r="M1064" t="s">
        <v>122</v>
      </c>
      <c r="N1064" t="s">
        <v>318</v>
      </c>
      <c r="O1064" t="s">
        <v>82</v>
      </c>
      <c r="P1064" t="str">
        <f>"4170063603                    "</f>
        <v xml:space="preserve">4170063603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22.36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70.959999999999994</v>
      </c>
      <c r="BM1064">
        <v>10.64</v>
      </c>
      <c r="BN1064">
        <v>81.599999999999994</v>
      </c>
      <c r="BO1064">
        <v>81.599999999999994</v>
      </c>
      <c r="BQ1064" t="s">
        <v>319</v>
      </c>
      <c r="BR1064" t="s">
        <v>97</v>
      </c>
      <c r="BS1064" s="3">
        <v>45939</v>
      </c>
      <c r="BT1064" s="4">
        <v>0.36180555555555555</v>
      </c>
      <c r="BU1064" t="s">
        <v>1819</v>
      </c>
      <c r="BV1064" t="s">
        <v>86</v>
      </c>
      <c r="BY1064">
        <v>1200</v>
      </c>
      <c r="CA1064" t="s">
        <v>321</v>
      </c>
      <c r="CC1064" t="s">
        <v>122</v>
      </c>
      <c r="CD1064">
        <v>4001</v>
      </c>
      <c r="CE1064" t="s">
        <v>147</v>
      </c>
      <c r="CF1064" s="3">
        <v>45939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"080068401004"</f>
        <v>080068401004</v>
      </c>
      <c r="F1065" s="3">
        <v>45938</v>
      </c>
      <c r="G1065">
        <v>202607</v>
      </c>
      <c r="H1065" t="s">
        <v>79</v>
      </c>
      <c r="I1065" t="s">
        <v>80</v>
      </c>
      <c r="J1065" t="s">
        <v>91</v>
      </c>
      <c r="K1065" t="s">
        <v>78</v>
      </c>
      <c r="L1065" t="s">
        <v>108</v>
      </c>
      <c r="M1065" t="s">
        <v>109</v>
      </c>
      <c r="N1065" t="s">
        <v>1239</v>
      </c>
      <c r="O1065" t="s">
        <v>82</v>
      </c>
      <c r="P1065" t="str">
        <f>"4170063653                    "</f>
        <v xml:space="preserve">4170063653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33.520000000000003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3</v>
      </c>
      <c r="BJ1065">
        <v>1.7</v>
      </c>
      <c r="BK1065">
        <v>3</v>
      </c>
      <c r="BL1065">
        <v>106.4</v>
      </c>
      <c r="BM1065">
        <v>15.96</v>
      </c>
      <c r="BN1065">
        <v>122.36</v>
      </c>
      <c r="BO1065">
        <v>122.36</v>
      </c>
      <c r="BQ1065" t="s">
        <v>1240</v>
      </c>
      <c r="BR1065" t="s">
        <v>97</v>
      </c>
      <c r="BS1065" s="3">
        <v>45939</v>
      </c>
      <c r="BT1065" s="4">
        <v>0.41597222222222224</v>
      </c>
      <c r="BU1065" t="s">
        <v>1717</v>
      </c>
      <c r="BV1065" t="s">
        <v>86</v>
      </c>
      <c r="BY1065">
        <v>8550</v>
      </c>
      <c r="CA1065" t="s">
        <v>1137</v>
      </c>
      <c r="CC1065" t="s">
        <v>109</v>
      </c>
      <c r="CD1065">
        <v>6001</v>
      </c>
      <c r="CE1065" t="s">
        <v>191</v>
      </c>
      <c r="CF1065" s="3">
        <v>45940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"080068401014"</f>
        <v>080068401014</v>
      </c>
      <c r="F1066" s="3">
        <v>45938</v>
      </c>
      <c r="G1066">
        <v>202607</v>
      </c>
      <c r="H1066" t="s">
        <v>79</v>
      </c>
      <c r="I1066" t="s">
        <v>80</v>
      </c>
      <c r="J1066" t="s">
        <v>91</v>
      </c>
      <c r="K1066" t="s">
        <v>78</v>
      </c>
      <c r="L1066" t="s">
        <v>108</v>
      </c>
      <c r="M1066" t="s">
        <v>109</v>
      </c>
      <c r="N1066" t="s">
        <v>751</v>
      </c>
      <c r="O1066" t="s">
        <v>82</v>
      </c>
      <c r="P1066" t="str">
        <f>"4170063663                    "</f>
        <v xml:space="preserve">4170063663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22.36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70.959999999999994</v>
      </c>
      <c r="BM1066">
        <v>10.64</v>
      </c>
      <c r="BN1066">
        <v>81.599999999999994</v>
      </c>
      <c r="BO1066">
        <v>81.599999999999994</v>
      </c>
      <c r="BQ1066" t="s">
        <v>752</v>
      </c>
      <c r="BR1066" t="s">
        <v>97</v>
      </c>
      <c r="BS1066" s="3">
        <v>45939</v>
      </c>
      <c r="BT1066" s="4">
        <v>0.35069444444444442</v>
      </c>
      <c r="BU1066" t="s">
        <v>1710</v>
      </c>
      <c r="BV1066" t="s">
        <v>86</v>
      </c>
      <c r="BY1066">
        <v>1200</v>
      </c>
      <c r="CA1066" t="s">
        <v>1090</v>
      </c>
      <c r="CC1066" t="s">
        <v>109</v>
      </c>
      <c r="CD1066">
        <v>6001</v>
      </c>
      <c r="CE1066" t="s">
        <v>147</v>
      </c>
      <c r="CF1066" s="3">
        <v>45939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"080068401023"</f>
        <v>080068401023</v>
      </c>
      <c r="F1067" s="3">
        <v>45938</v>
      </c>
      <c r="G1067">
        <v>202607</v>
      </c>
      <c r="H1067" t="s">
        <v>79</v>
      </c>
      <c r="I1067" t="s">
        <v>80</v>
      </c>
      <c r="J1067" t="s">
        <v>91</v>
      </c>
      <c r="K1067" t="s">
        <v>78</v>
      </c>
      <c r="L1067" t="s">
        <v>168</v>
      </c>
      <c r="M1067" t="s">
        <v>169</v>
      </c>
      <c r="N1067" t="s">
        <v>1182</v>
      </c>
      <c r="O1067" t="s">
        <v>95</v>
      </c>
      <c r="P1067" t="str">
        <f>"4170063587                    "</f>
        <v xml:space="preserve">4170063587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43.23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2.6</v>
      </c>
      <c r="BK1067">
        <v>3</v>
      </c>
      <c r="BL1067">
        <v>143.08000000000001</v>
      </c>
      <c r="BM1067">
        <v>21.46</v>
      </c>
      <c r="BN1067">
        <v>164.54</v>
      </c>
      <c r="BO1067">
        <v>164.54</v>
      </c>
      <c r="BQ1067" t="s">
        <v>1183</v>
      </c>
      <c r="BR1067" t="s">
        <v>97</v>
      </c>
      <c r="BS1067" s="3">
        <v>45939</v>
      </c>
      <c r="BT1067" s="4">
        <v>0.35069444444444442</v>
      </c>
      <c r="BU1067" t="s">
        <v>1820</v>
      </c>
      <c r="BV1067" t="s">
        <v>86</v>
      </c>
      <c r="BY1067">
        <v>13248</v>
      </c>
      <c r="CA1067">
        <v>8110305701087</v>
      </c>
      <c r="CC1067" t="s">
        <v>169</v>
      </c>
      <c r="CD1067" s="5" t="s">
        <v>1108</v>
      </c>
      <c r="CE1067" t="s">
        <v>107</v>
      </c>
      <c r="CF1067" s="3">
        <v>45939</v>
      </c>
      <c r="CI1067">
        <v>1</v>
      </c>
      <c r="CJ1067">
        <v>1</v>
      </c>
      <c r="CK1067">
        <v>41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"080068401024"</f>
        <v>080068401024</v>
      </c>
      <c r="F1068" s="3">
        <v>45938</v>
      </c>
      <c r="G1068">
        <v>202607</v>
      </c>
      <c r="H1068" t="s">
        <v>79</v>
      </c>
      <c r="I1068" t="s">
        <v>80</v>
      </c>
      <c r="J1068" t="s">
        <v>91</v>
      </c>
      <c r="K1068" t="s">
        <v>78</v>
      </c>
      <c r="L1068" t="s">
        <v>168</v>
      </c>
      <c r="M1068" t="s">
        <v>169</v>
      </c>
      <c r="N1068" t="s">
        <v>1821</v>
      </c>
      <c r="O1068" t="s">
        <v>82</v>
      </c>
      <c r="P1068" t="str">
        <f>"4170063652                    "</f>
        <v xml:space="preserve">4170063652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22.36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70.959999999999994</v>
      </c>
      <c r="BM1068">
        <v>10.64</v>
      </c>
      <c r="BN1068">
        <v>81.599999999999994</v>
      </c>
      <c r="BO1068">
        <v>81.599999999999994</v>
      </c>
      <c r="BQ1068" t="s">
        <v>1822</v>
      </c>
      <c r="BR1068" t="s">
        <v>97</v>
      </c>
      <c r="BS1068" s="3">
        <v>45939</v>
      </c>
      <c r="BT1068" s="4">
        <v>0.40277777777777779</v>
      </c>
      <c r="BU1068" t="s">
        <v>1823</v>
      </c>
      <c r="BV1068" t="s">
        <v>86</v>
      </c>
      <c r="BY1068">
        <v>1200</v>
      </c>
      <c r="CA1068">
        <v>8303236124087</v>
      </c>
      <c r="CC1068" t="s">
        <v>169</v>
      </c>
      <c r="CD1068" s="5" t="s">
        <v>190</v>
      </c>
      <c r="CE1068" t="s">
        <v>147</v>
      </c>
      <c r="CF1068" s="3">
        <v>45939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"080068401110"</f>
        <v>080068401110</v>
      </c>
      <c r="F1069" s="3">
        <v>45938</v>
      </c>
      <c r="G1069">
        <v>202607</v>
      </c>
      <c r="H1069" t="s">
        <v>79</v>
      </c>
      <c r="I1069" t="s">
        <v>80</v>
      </c>
      <c r="J1069" t="s">
        <v>91</v>
      </c>
      <c r="K1069" t="s">
        <v>78</v>
      </c>
      <c r="L1069" t="s">
        <v>223</v>
      </c>
      <c r="M1069" t="s">
        <v>224</v>
      </c>
      <c r="N1069" t="s">
        <v>1824</v>
      </c>
      <c r="O1069" t="s">
        <v>82</v>
      </c>
      <c r="P1069" t="str">
        <f>"4170063424                    "</f>
        <v xml:space="preserve">4170063424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17.46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55.42</v>
      </c>
      <c r="BM1069">
        <v>8.31</v>
      </c>
      <c r="BN1069">
        <v>63.73</v>
      </c>
      <c r="BO1069">
        <v>63.73</v>
      </c>
      <c r="BQ1069" t="s">
        <v>1825</v>
      </c>
      <c r="BR1069" t="s">
        <v>97</v>
      </c>
      <c r="BS1069" s="3">
        <v>45939</v>
      </c>
      <c r="BT1069" s="4">
        <v>0.39027777777777778</v>
      </c>
      <c r="BU1069" t="s">
        <v>1826</v>
      </c>
      <c r="BV1069" t="s">
        <v>86</v>
      </c>
      <c r="BY1069">
        <v>1200</v>
      </c>
      <c r="CA1069" t="s">
        <v>1595</v>
      </c>
      <c r="CC1069" t="s">
        <v>224</v>
      </c>
      <c r="CD1069">
        <v>1459</v>
      </c>
      <c r="CE1069" t="s">
        <v>147</v>
      </c>
      <c r="CF1069" s="3">
        <v>45939</v>
      </c>
      <c r="CI1069">
        <v>1</v>
      </c>
      <c r="CJ1069">
        <v>1</v>
      </c>
      <c r="CK1069">
        <v>22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"080068401122"</f>
        <v>080068401122</v>
      </c>
      <c r="F1070" s="3">
        <v>45938</v>
      </c>
      <c r="G1070">
        <v>202607</v>
      </c>
      <c r="H1070" t="s">
        <v>79</v>
      </c>
      <c r="I1070" t="s">
        <v>80</v>
      </c>
      <c r="J1070" t="s">
        <v>91</v>
      </c>
      <c r="K1070" t="s">
        <v>78</v>
      </c>
      <c r="L1070" t="s">
        <v>271</v>
      </c>
      <c r="M1070" t="s">
        <v>272</v>
      </c>
      <c r="N1070" t="s">
        <v>1164</v>
      </c>
      <c r="O1070" t="s">
        <v>82</v>
      </c>
      <c r="P1070" t="str">
        <f>"4170063421                    "</f>
        <v xml:space="preserve">4170063421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17.46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2</v>
      </c>
      <c r="BJ1070">
        <v>1.1000000000000001</v>
      </c>
      <c r="BK1070">
        <v>2</v>
      </c>
      <c r="BL1070">
        <v>55.42</v>
      </c>
      <c r="BM1070">
        <v>8.31</v>
      </c>
      <c r="BN1070">
        <v>63.73</v>
      </c>
      <c r="BO1070">
        <v>63.73</v>
      </c>
      <c r="BQ1070" t="s">
        <v>1165</v>
      </c>
      <c r="BR1070" t="s">
        <v>97</v>
      </c>
      <c r="BS1070" s="3">
        <v>45939</v>
      </c>
      <c r="BT1070" s="4">
        <v>0.35972222222222222</v>
      </c>
      <c r="BU1070" t="s">
        <v>568</v>
      </c>
      <c r="BV1070" t="s">
        <v>86</v>
      </c>
      <c r="BY1070">
        <v>5320</v>
      </c>
      <c r="CA1070" t="s">
        <v>661</v>
      </c>
      <c r="CC1070" t="s">
        <v>272</v>
      </c>
      <c r="CD1070">
        <v>1428</v>
      </c>
      <c r="CE1070" t="s">
        <v>191</v>
      </c>
      <c r="CF1070" s="3">
        <v>45940</v>
      </c>
      <c r="CI1070">
        <v>1</v>
      </c>
      <c r="CJ1070">
        <v>1</v>
      </c>
      <c r="CK1070">
        <v>22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"080068401135"</f>
        <v>080068401135</v>
      </c>
      <c r="F1071" s="3">
        <v>45938</v>
      </c>
      <c r="G1071">
        <v>202607</v>
      </c>
      <c r="H1071" t="s">
        <v>79</v>
      </c>
      <c r="I1071" t="s">
        <v>80</v>
      </c>
      <c r="J1071" t="s">
        <v>91</v>
      </c>
      <c r="K1071" t="s">
        <v>78</v>
      </c>
      <c r="L1071" t="s">
        <v>809</v>
      </c>
      <c r="M1071" t="s">
        <v>810</v>
      </c>
      <c r="N1071" t="s">
        <v>1762</v>
      </c>
      <c r="O1071" t="s">
        <v>82</v>
      </c>
      <c r="P1071" t="str">
        <f>"4170063668                    "</f>
        <v xml:space="preserve">4170063668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17.46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55.42</v>
      </c>
      <c r="BM1071">
        <v>8.31</v>
      </c>
      <c r="BN1071">
        <v>63.73</v>
      </c>
      <c r="BO1071">
        <v>63.73</v>
      </c>
      <c r="BQ1071" t="s">
        <v>1763</v>
      </c>
      <c r="BR1071" t="s">
        <v>97</v>
      </c>
      <c r="BS1071" s="3">
        <v>45939</v>
      </c>
      <c r="BT1071" s="4">
        <v>0.35833333333333334</v>
      </c>
      <c r="BU1071" t="s">
        <v>511</v>
      </c>
      <c r="BV1071" t="s">
        <v>86</v>
      </c>
      <c r="BY1071">
        <v>1200</v>
      </c>
      <c r="CA1071" t="s">
        <v>1356</v>
      </c>
      <c r="CC1071" t="s">
        <v>810</v>
      </c>
      <c r="CD1071">
        <v>1709</v>
      </c>
      <c r="CE1071" t="s">
        <v>147</v>
      </c>
      <c r="CF1071" s="3">
        <v>45939</v>
      </c>
      <c r="CI1071">
        <v>1</v>
      </c>
      <c r="CJ1071">
        <v>1</v>
      </c>
      <c r="CK1071">
        <v>22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"080068401153"</f>
        <v>080068401153</v>
      </c>
      <c r="F1072" s="3">
        <v>45938</v>
      </c>
      <c r="G1072">
        <v>202607</v>
      </c>
      <c r="H1072" t="s">
        <v>79</v>
      </c>
      <c r="I1072" t="s">
        <v>80</v>
      </c>
      <c r="J1072" t="s">
        <v>91</v>
      </c>
      <c r="K1072" t="s">
        <v>78</v>
      </c>
      <c r="L1072" t="s">
        <v>206</v>
      </c>
      <c r="M1072" t="s">
        <v>207</v>
      </c>
      <c r="N1072" t="s">
        <v>1827</v>
      </c>
      <c r="O1072" t="s">
        <v>82</v>
      </c>
      <c r="P1072" t="str">
        <f>"4170063672                    "</f>
        <v xml:space="preserve">4170063672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22.36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1.9</v>
      </c>
      <c r="BK1072">
        <v>2</v>
      </c>
      <c r="BL1072">
        <v>70.959999999999994</v>
      </c>
      <c r="BM1072">
        <v>10.64</v>
      </c>
      <c r="BN1072">
        <v>81.599999999999994</v>
      </c>
      <c r="BO1072">
        <v>81.599999999999994</v>
      </c>
      <c r="BQ1072" t="s">
        <v>1828</v>
      </c>
      <c r="BR1072" t="s">
        <v>97</v>
      </c>
      <c r="BS1072" s="3">
        <v>45939</v>
      </c>
      <c r="BT1072" s="4">
        <v>0.40486111111111112</v>
      </c>
      <c r="BU1072" t="s">
        <v>1829</v>
      </c>
      <c r="BV1072" t="s">
        <v>86</v>
      </c>
      <c r="BY1072">
        <v>9600</v>
      </c>
      <c r="CA1072" t="s">
        <v>415</v>
      </c>
      <c r="CC1072" t="s">
        <v>207</v>
      </c>
      <c r="CD1072">
        <v>7500</v>
      </c>
      <c r="CE1072" t="s">
        <v>191</v>
      </c>
      <c r="CF1072" s="3">
        <v>45940</v>
      </c>
      <c r="CI1072">
        <v>1</v>
      </c>
      <c r="CJ1072">
        <v>1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"080068401154"</f>
        <v>080068401154</v>
      </c>
      <c r="F1073" s="3">
        <v>45938</v>
      </c>
      <c r="G1073">
        <v>202607</v>
      </c>
      <c r="H1073" t="s">
        <v>79</v>
      </c>
      <c r="I1073" t="s">
        <v>80</v>
      </c>
      <c r="J1073" t="s">
        <v>91</v>
      </c>
      <c r="K1073" t="s">
        <v>78</v>
      </c>
      <c r="L1073" t="s">
        <v>121</v>
      </c>
      <c r="M1073" t="s">
        <v>122</v>
      </c>
      <c r="N1073" t="s">
        <v>159</v>
      </c>
      <c r="O1073" t="s">
        <v>82</v>
      </c>
      <c r="P1073" t="str">
        <f>"4170063658                    "</f>
        <v xml:space="preserve">4170063658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22.36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70.959999999999994</v>
      </c>
      <c r="BM1073">
        <v>10.64</v>
      </c>
      <c r="BN1073">
        <v>81.599999999999994</v>
      </c>
      <c r="BO1073">
        <v>81.599999999999994</v>
      </c>
      <c r="BQ1073" t="s">
        <v>160</v>
      </c>
      <c r="BR1073" t="s">
        <v>97</v>
      </c>
      <c r="BS1073" s="3">
        <v>45939</v>
      </c>
      <c r="BT1073" s="4">
        <v>0.48541666666666666</v>
      </c>
      <c r="BU1073" t="s">
        <v>1830</v>
      </c>
      <c r="BV1073" t="s">
        <v>90</v>
      </c>
      <c r="BY1073">
        <v>1200</v>
      </c>
      <c r="CA1073" t="s">
        <v>742</v>
      </c>
      <c r="CC1073" t="s">
        <v>122</v>
      </c>
      <c r="CD1073">
        <v>4000</v>
      </c>
      <c r="CE1073" t="s">
        <v>147</v>
      </c>
      <c r="CF1073" s="3">
        <v>45940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"080068401227"</f>
        <v>080068401227</v>
      </c>
      <c r="F1074" s="3">
        <v>45938</v>
      </c>
      <c r="G1074">
        <v>202607</v>
      </c>
      <c r="H1074" t="s">
        <v>79</v>
      </c>
      <c r="I1074" t="s">
        <v>80</v>
      </c>
      <c r="J1074" t="s">
        <v>91</v>
      </c>
      <c r="K1074" t="s">
        <v>78</v>
      </c>
      <c r="L1074" t="s">
        <v>1657</v>
      </c>
      <c r="M1074" t="s">
        <v>1657</v>
      </c>
      <c r="N1074" t="s">
        <v>416</v>
      </c>
      <c r="O1074" t="s">
        <v>226</v>
      </c>
      <c r="P1074" t="str">
        <f>"4170063669                    "</f>
        <v xml:space="preserve">4170063669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135.22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7</v>
      </c>
      <c r="BJ1074">
        <v>7.2</v>
      </c>
      <c r="BK1074">
        <v>7.5</v>
      </c>
      <c r="BL1074">
        <v>429.18</v>
      </c>
      <c r="BM1074">
        <v>64.38</v>
      </c>
      <c r="BN1074">
        <v>493.56</v>
      </c>
      <c r="BO1074">
        <v>493.56</v>
      </c>
      <c r="BQ1074" t="s">
        <v>417</v>
      </c>
      <c r="BR1074" t="s">
        <v>97</v>
      </c>
      <c r="BS1074" s="3">
        <v>45939</v>
      </c>
      <c r="BT1074" s="4">
        <v>0.30763888888888891</v>
      </c>
      <c r="BU1074" t="s">
        <v>1831</v>
      </c>
      <c r="BV1074" t="s">
        <v>86</v>
      </c>
      <c r="BY1074">
        <v>36064</v>
      </c>
      <c r="CA1074" t="s">
        <v>1659</v>
      </c>
      <c r="CC1074" t="s">
        <v>1657</v>
      </c>
      <c r="CD1074">
        <v>1491</v>
      </c>
      <c r="CE1074" t="s">
        <v>107</v>
      </c>
      <c r="CF1074" s="3">
        <v>45940</v>
      </c>
      <c r="CI1074">
        <v>1</v>
      </c>
      <c r="CJ1074">
        <v>1</v>
      </c>
      <c r="CK1074">
        <v>34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"080068401245"</f>
        <v>080068401245</v>
      </c>
      <c r="F1075" s="3">
        <v>45938</v>
      </c>
      <c r="G1075">
        <v>202607</v>
      </c>
      <c r="H1075" t="s">
        <v>79</v>
      </c>
      <c r="I1075" t="s">
        <v>80</v>
      </c>
      <c r="J1075" t="s">
        <v>91</v>
      </c>
      <c r="K1075" t="s">
        <v>78</v>
      </c>
      <c r="L1075" t="s">
        <v>206</v>
      </c>
      <c r="M1075" t="s">
        <v>207</v>
      </c>
      <c r="N1075" t="s">
        <v>427</v>
      </c>
      <c r="O1075" t="s">
        <v>95</v>
      </c>
      <c r="P1075" t="str">
        <f>"4170063664                    "</f>
        <v xml:space="preserve">4170063664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50.37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18</v>
      </c>
      <c r="BJ1075">
        <v>18.3</v>
      </c>
      <c r="BK1075">
        <v>19</v>
      </c>
      <c r="BL1075">
        <v>165.74</v>
      </c>
      <c r="BM1075">
        <v>24.86</v>
      </c>
      <c r="BN1075">
        <v>190.6</v>
      </c>
      <c r="BO1075">
        <v>190.6</v>
      </c>
      <c r="BQ1075" t="s">
        <v>428</v>
      </c>
      <c r="BR1075" t="s">
        <v>97</v>
      </c>
      <c r="BS1075" s="3">
        <v>45940</v>
      </c>
      <c r="BT1075" s="4">
        <v>0.35486111111111113</v>
      </c>
      <c r="BU1075" t="s">
        <v>1832</v>
      </c>
      <c r="BV1075" t="s">
        <v>86</v>
      </c>
      <c r="BY1075">
        <v>91264</v>
      </c>
      <c r="CA1075" t="s">
        <v>423</v>
      </c>
      <c r="CC1075" t="s">
        <v>207</v>
      </c>
      <c r="CD1075">
        <v>7530</v>
      </c>
      <c r="CE1075" t="s">
        <v>191</v>
      </c>
      <c r="CF1075" s="3">
        <v>45943</v>
      </c>
      <c r="CI1075">
        <v>3</v>
      </c>
      <c r="CJ1075">
        <v>2</v>
      </c>
      <c r="CK1075">
        <v>41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"080068401315"</f>
        <v>080068401315</v>
      </c>
      <c r="F1076" s="3">
        <v>45938</v>
      </c>
      <c r="G1076">
        <v>202607</v>
      </c>
      <c r="H1076" t="s">
        <v>79</v>
      </c>
      <c r="I1076" t="s">
        <v>80</v>
      </c>
      <c r="J1076" t="s">
        <v>91</v>
      </c>
      <c r="K1076" t="s">
        <v>78</v>
      </c>
      <c r="L1076" t="s">
        <v>668</v>
      </c>
      <c r="M1076" t="s">
        <v>669</v>
      </c>
      <c r="N1076" t="s">
        <v>1833</v>
      </c>
      <c r="O1076" t="s">
        <v>226</v>
      </c>
      <c r="P1076" t="str">
        <f>"4170063666                    "</f>
        <v xml:space="preserve">4170063666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19.43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9</v>
      </c>
      <c r="BJ1076">
        <v>5.2</v>
      </c>
      <c r="BK1076">
        <v>9</v>
      </c>
      <c r="BL1076">
        <v>61.66</v>
      </c>
      <c r="BM1076">
        <v>9.25</v>
      </c>
      <c r="BN1076">
        <v>70.91</v>
      </c>
      <c r="BO1076">
        <v>70.91</v>
      </c>
      <c r="BQ1076" t="s">
        <v>1834</v>
      </c>
      <c r="BR1076" t="s">
        <v>97</v>
      </c>
      <c r="BS1076" s="3">
        <v>45939</v>
      </c>
      <c r="BT1076" s="4">
        <v>0.36527777777777776</v>
      </c>
      <c r="BU1076" t="s">
        <v>511</v>
      </c>
      <c r="BV1076" t="s">
        <v>86</v>
      </c>
      <c r="BY1076">
        <v>26112</v>
      </c>
      <c r="CA1076" t="s">
        <v>1835</v>
      </c>
      <c r="CC1076" t="s">
        <v>669</v>
      </c>
      <c r="CD1076">
        <v>1501</v>
      </c>
      <c r="CE1076" t="s">
        <v>107</v>
      </c>
      <c r="CF1076" s="3">
        <v>45940</v>
      </c>
      <c r="CI1076">
        <v>1</v>
      </c>
      <c r="CJ1076">
        <v>1</v>
      </c>
      <c r="CK1076">
        <v>32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"080068401357"</f>
        <v>080068401357</v>
      </c>
      <c r="F1077" s="3">
        <v>45938</v>
      </c>
      <c r="G1077">
        <v>202607</v>
      </c>
      <c r="H1077" t="s">
        <v>79</v>
      </c>
      <c r="I1077" t="s">
        <v>80</v>
      </c>
      <c r="J1077" t="s">
        <v>91</v>
      </c>
      <c r="K1077" t="s">
        <v>78</v>
      </c>
      <c r="L1077" t="s">
        <v>206</v>
      </c>
      <c r="M1077" t="s">
        <v>207</v>
      </c>
      <c r="N1077" t="s">
        <v>1827</v>
      </c>
      <c r="O1077" t="s">
        <v>82</v>
      </c>
      <c r="P1077" t="str">
        <f>"4170063671                    "</f>
        <v xml:space="preserve">4170063671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22.36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1.9</v>
      </c>
      <c r="BK1077">
        <v>2</v>
      </c>
      <c r="BL1077">
        <v>70.959999999999994</v>
      </c>
      <c r="BM1077">
        <v>10.64</v>
      </c>
      <c r="BN1077">
        <v>81.599999999999994</v>
      </c>
      <c r="BO1077">
        <v>81.599999999999994</v>
      </c>
      <c r="BQ1077" t="s">
        <v>1828</v>
      </c>
      <c r="BR1077" t="s">
        <v>97</v>
      </c>
      <c r="BS1077" s="3">
        <v>45939</v>
      </c>
      <c r="BT1077" s="4">
        <v>0.40486111111111112</v>
      </c>
      <c r="BU1077" t="s">
        <v>1829</v>
      </c>
      <c r="BV1077" t="s">
        <v>86</v>
      </c>
      <c r="BY1077">
        <v>9600</v>
      </c>
      <c r="CA1077" t="s">
        <v>415</v>
      </c>
      <c r="CC1077" t="s">
        <v>207</v>
      </c>
      <c r="CD1077">
        <v>7499</v>
      </c>
      <c r="CE1077" t="s">
        <v>191</v>
      </c>
      <c r="CF1077" s="3">
        <v>45940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"080068401378"</f>
        <v>080068401378</v>
      </c>
      <c r="F1078" s="3">
        <v>45938</v>
      </c>
      <c r="G1078">
        <v>202607</v>
      </c>
      <c r="H1078" t="s">
        <v>79</v>
      </c>
      <c r="I1078" t="s">
        <v>80</v>
      </c>
      <c r="J1078" t="s">
        <v>91</v>
      </c>
      <c r="K1078" t="s">
        <v>78</v>
      </c>
      <c r="L1078" t="s">
        <v>1836</v>
      </c>
      <c r="M1078" t="s">
        <v>1837</v>
      </c>
      <c r="N1078" t="s">
        <v>1838</v>
      </c>
      <c r="O1078" t="s">
        <v>82</v>
      </c>
      <c r="P1078" t="str">
        <f>"4170063662                    "</f>
        <v xml:space="preserve">4170063662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43.31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137.47</v>
      </c>
      <c r="BM1078">
        <v>20.62</v>
      </c>
      <c r="BN1078">
        <v>158.09</v>
      </c>
      <c r="BO1078">
        <v>158.09</v>
      </c>
      <c r="BQ1078" t="s">
        <v>1839</v>
      </c>
      <c r="BR1078" t="s">
        <v>97</v>
      </c>
      <c r="BS1078" s="3">
        <v>45944</v>
      </c>
      <c r="BT1078" s="4">
        <v>0.53125</v>
      </c>
      <c r="BU1078" t="s">
        <v>1840</v>
      </c>
      <c r="BV1078" t="s">
        <v>90</v>
      </c>
      <c r="BW1078" t="s">
        <v>136</v>
      </c>
      <c r="BX1078" t="s">
        <v>858</v>
      </c>
      <c r="BY1078">
        <v>1200</v>
      </c>
      <c r="CC1078" t="s">
        <v>1837</v>
      </c>
      <c r="CD1078">
        <v>4170</v>
      </c>
      <c r="CE1078" t="s">
        <v>1085</v>
      </c>
      <c r="CF1078" s="3">
        <v>45944</v>
      </c>
      <c r="CI1078">
        <v>1</v>
      </c>
      <c r="CJ1078">
        <v>4</v>
      </c>
      <c r="CK1078">
        <v>23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"080068401398"</f>
        <v>080068401398</v>
      </c>
      <c r="F1079" s="3">
        <v>45938</v>
      </c>
      <c r="G1079">
        <v>202607</v>
      </c>
      <c r="H1079" t="s">
        <v>79</v>
      </c>
      <c r="I1079" t="s">
        <v>80</v>
      </c>
      <c r="J1079" t="s">
        <v>91</v>
      </c>
      <c r="K1079" t="s">
        <v>78</v>
      </c>
      <c r="L1079" t="s">
        <v>148</v>
      </c>
      <c r="M1079" t="s">
        <v>149</v>
      </c>
      <c r="N1079" t="s">
        <v>1460</v>
      </c>
      <c r="O1079" t="s">
        <v>82</v>
      </c>
      <c r="P1079" t="str">
        <f>"4170063661                    "</f>
        <v xml:space="preserve">4170063661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17.46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55.42</v>
      </c>
      <c r="BM1079">
        <v>8.31</v>
      </c>
      <c r="BN1079">
        <v>63.73</v>
      </c>
      <c r="BO1079">
        <v>63.73</v>
      </c>
      <c r="BQ1079" t="s">
        <v>1461</v>
      </c>
      <c r="BR1079" t="s">
        <v>97</v>
      </c>
      <c r="BS1079" s="3">
        <v>45939</v>
      </c>
      <c r="BT1079" s="4">
        <v>0.4201388888888889</v>
      </c>
      <c r="BU1079" t="s">
        <v>1462</v>
      </c>
      <c r="BV1079" t="s">
        <v>86</v>
      </c>
      <c r="BY1079">
        <v>1200</v>
      </c>
      <c r="CA1079" t="s">
        <v>1463</v>
      </c>
      <c r="CC1079" t="s">
        <v>149</v>
      </c>
      <c r="CD1079">
        <v>2091</v>
      </c>
      <c r="CE1079" t="s">
        <v>147</v>
      </c>
      <c r="CF1079" s="3">
        <v>45940</v>
      </c>
      <c r="CI1079">
        <v>1</v>
      </c>
      <c r="CJ1079">
        <v>1</v>
      </c>
      <c r="CK1079">
        <v>22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"080068401442"</f>
        <v>080068401442</v>
      </c>
      <c r="F1080" s="3">
        <v>45938</v>
      </c>
      <c r="G1080">
        <v>202607</v>
      </c>
      <c r="H1080" t="s">
        <v>79</v>
      </c>
      <c r="I1080" t="s">
        <v>80</v>
      </c>
      <c r="J1080" t="s">
        <v>91</v>
      </c>
      <c r="K1080" t="s">
        <v>78</v>
      </c>
      <c r="L1080" t="s">
        <v>233</v>
      </c>
      <c r="M1080" t="s">
        <v>234</v>
      </c>
      <c r="N1080" t="s">
        <v>235</v>
      </c>
      <c r="O1080" t="s">
        <v>95</v>
      </c>
      <c r="P1080" t="str">
        <f>"4170063667                    "</f>
        <v xml:space="preserve">4170063667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43.23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6</v>
      </c>
      <c r="BJ1080">
        <v>8.1999999999999993</v>
      </c>
      <c r="BK1080">
        <v>9</v>
      </c>
      <c r="BL1080">
        <v>143.08000000000001</v>
      </c>
      <c r="BM1080">
        <v>21.46</v>
      </c>
      <c r="BN1080">
        <v>164.54</v>
      </c>
      <c r="BO1080">
        <v>164.54</v>
      </c>
      <c r="BQ1080" t="s">
        <v>236</v>
      </c>
      <c r="BR1080" t="s">
        <v>97</v>
      </c>
      <c r="BS1080" s="3">
        <v>45939</v>
      </c>
      <c r="BT1080" s="4">
        <v>0.36319444444444443</v>
      </c>
      <c r="BU1080" t="s">
        <v>1561</v>
      </c>
      <c r="BV1080" t="s">
        <v>86</v>
      </c>
      <c r="BY1080">
        <v>40960</v>
      </c>
      <c r="CA1080">
        <v>7104145194083</v>
      </c>
      <c r="CC1080" t="s">
        <v>234</v>
      </c>
      <c r="CD1080" s="5" t="s">
        <v>238</v>
      </c>
      <c r="CE1080" t="s">
        <v>107</v>
      </c>
      <c r="CF1080" s="3">
        <v>45939</v>
      </c>
      <c r="CI1080">
        <v>1</v>
      </c>
      <c r="CJ1080">
        <v>1</v>
      </c>
      <c r="CK1080">
        <v>41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"080068401473"</f>
        <v>080068401473</v>
      </c>
      <c r="F1081" s="3">
        <v>45938</v>
      </c>
      <c r="G1081">
        <v>202607</v>
      </c>
      <c r="H1081" t="s">
        <v>79</v>
      </c>
      <c r="I1081" t="s">
        <v>80</v>
      </c>
      <c r="J1081" t="s">
        <v>91</v>
      </c>
      <c r="K1081" t="s">
        <v>78</v>
      </c>
      <c r="L1081" t="s">
        <v>148</v>
      </c>
      <c r="M1081" t="s">
        <v>149</v>
      </c>
      <c r="N1081" t="s">
        <v>1841</v>
      </c>
      <c r="O1081" t="s">
        <v>82</v>
      </c>
      <c r="P1081" t="str">
        <f>"4170063665                    "</f>
        <v xml:space="preserve">4170063665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17.46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55.42</v>
      </c>
      <c r="BM1081">
        <v>8.31</v>
      </c>
      <c r="BN1081">
        <v>63.73</v>
      </c>
      <c r="BO1081">
        <v>63.73</v>
      </c>
      <c r="BQ1081" t="s">
        <v>1842</v>
      </c>
      <c r="BR1081" t="s">
        <v>97</v>
      </c>
      <c r="BS1081" s="3">
        <v>45939</v>
      </c>
      <c r="BT1081" s="4">
        <v>0.35625000000000001</v>
      </c>
      <c r="BU1081" t="s">
        <v>1843</v>
      </c>
      <c r="BV1081" t="s">
        <v>86</v>
      </c>
      <c r="BY1081">
        <v>1200</v>
      </c>
      <c r="CA1081" t="s">
        <v>1844</v>
      </c>
      <c r="CC1081" t="s">
        <v>149</v>
      </c>
      <c r="CD1081">
        <v>2192</v>
      </c>
      <c r="CE1081" t="s">
        <v>147</v>
      </c>
      <c r="CF1081" s="3">
        <v>45939</v>
      </c>
      <c r="CI1081">
        <v>1</v>
      </c>
      <c r="CJ1081">
        <v>1</v>
      </c>
      <c r="CK1081">
        <v>22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"080068401493"</f>
        <v>080068401493</v>
      </c>
      <c r="F1082" s="3">
        <v>45938</v>
      </c>
      <c r="G1082">
        <v>202607</v>
      </c>
      <c r="H1082" t="s">
        <v>79</v>
      </c>
      <c r="I1082" t="s">
        <v>80</v>
      </c>
      <c r="J1082" t="s">
        <v>91</v>
      </c>
      <c r="K1082" t="s">
        <v>78</v>
      </c>
      <c r="L1082" t="s">
        <v>206</v>
      </c>
      <c r="M1082" t="s">
        <v>207</v>
      </c>
      <c r="N1082" t="s">
        <v>361</v>
      </c>
      <c r="O1082" t="s">
        <v>82</v>
      </c>
      <c r="P1082" t="str">
        <f>"4170063642                    "</f>
        <v xml:space="preserve">4170063642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27.94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2.2000000000000002</v>
      </c>
      <c r="BK1082">
        <v>2.5</v>
      </c>
      <c r="BL1082">
        <v>88.68</v>
      </c>
      <c r="BM1082">
        <v>13.3</v>
      </c>
      <c r="BN1082">
        <v>101.98</v>
      </c>
      <c r="BO1082">
        <v>101.98</v>
      </c>
      <c r="BQ1082" t="s">
        <v>362</v>
      </c>
      <c r="BR1082" t="s">
        <v>97</v>
      </c>
      <c r="BS1082" s="3">
        <v>45939</v>
      </c>
      <c r="BT1082" s="4">
        <v>0.43333333333333335</v>
      </c>
      <c r="BU1082" t="s">
        <v>1845</v>
      </c>
      <c r="BV1082" t="s">
        <v>86</v>
      </c>
      <c r="BY1082">
        <v>10800</v>
      </c>
      <c r="CA1082" t="s">
        <v>992</v>
      </c>
      <c r="CC1082" t="s">
        <v>207</v>
      </c>
      <c r="CD1082">
        <v>7535</v>
      </c>
      <c r="CE1082" t="s">
        <v>107</v>
      </c>
      <c r="CF1082" s="3">
        <v>45940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"080068401517"</f>
        <v>080068401517</v>
      </c>
      <c r="F1083" s="3">
        <v>45938</v>
      </c>
      <c r="G1083">
        <v>202607</v>
      </c>
      <c r="H1083" t="s">
        <v>79</v>
      </c>
      <c r="I1083" t="s">
        <v>80</v>
      </c>
      <c r="J1083" t="s">
        <v>91</v>
      </c>
      <c r="K1083" t="s">
        <v>78</v>
      </c>
      <c r="L1083" t="s">
        <v>1383</v>
      </c>
      <c r="M1083" t="s">
        <v>1384</v>
      </c>
      <c r="N1083" t="s">
        <v>1385</v>
      </c>
      <c r="O1083" t="s">
        <v>82</v>
      </c>
      <c r="P1083" t="str">
        <f>"4170063434                    "</f>
        <v xml:space="preserve">4170063434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43.31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137.47</v>
      </c>
      <c r="BM1083">
        <v>20.62</v>
      </c>
      <c r="BN1083">
        <v>158.09</v>
      </c>
      <c r="BO1083">
        <v>158.09</v>
      </c>
      <c r="BQ1083" t="s">
        <v>1386</v>
      </c>
      <c r="BR1083" t="s">
        <v>97</v>
      </c>
      <c r="BS1083" s="3">
        <v>45940</v>
      </c>
      <c r="BT1083" s="4">
        <v>0.33680555555555558</v>
      </c>
      <c r="BU1083" t="s">
        <v>1846</v>
      </c>
      <c r="BV1083" t="s">
        <v>86</v>
      </c>
      <c r="BY1083">
        <v>1200</v>
      </c>
      <c r="CC1083" t="s">
        <v>1384</v>
      </c>
      <c r="CD1083">
        <v>4252</v>
      </c>
      <c r="CE1083" t="s">
        <v>147</v>
      </c>
      <c r="CF1083" s="3">
        <v>45942</v>
      </c>
      <c r="CI1083">
        <v>2</v>
      </c>
      <c r="CJ1083">
        <v>2</v>
      </c>
      <c r="CK1083">
        <v>23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"080068401617"</f>
        <v>080068401617</v>
      </c>
      <c r="F1084" s="3">
        <v>45938</v>
      </c>
      <c r="G1084">
        <v>202607</v>
      </c>
      <c r="H1084" t="s">
        <v>79</v>
      </c>
      <c r="I1084" t="s">
        <v>80</v>
      </c>
      <c r="J1084" t="s">
        <v>91</v>
      </c>
      <c r="K1084" t="s">
        <v>78</v>
      </c>
      <c r="L1084" t="s">
        <v>223</v>
      </c>
      <c r="M1084" t="s">
        <v>224</v>
      </c>
      <c r="N1084" t="s">
        <v>1847</v>
      </c>
      <c r="O1084" t="s">
        <v>226</v>
      </c>
      <c r="P1084" t="str">
        <f>"4170063674                    "</f>
        <v xml:space="preserve">4170063674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17.47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4</v>
      </c>
      <c r="BJ1084">
        <v>3.4</v>
      </c>
      <c r="BK1084">
        <v>4</v>
      </c>
      <c r="BL1084">
        <v>55.44</v>
      </c>
      <c r="BM1084">
        <v>8.32</v>
      </c>
      <c r="BN1084">
        <v>63.76</v>
      </c>
      <c r="BO1084">
        <v>63.76</v>
      </c>
      <c r="BQ1084" t="s">
        <v>1848</v>
      </c>
      <c r="BR1084" t="s">
        <v>97</v>
      </c>
      <c r="BS1084" s="3">
        <v>45939</v>
      </c>
      <c r="BT1084" s="4">
        <v>0.40833333333333333</v>
      </c>
      <c r="BU1084" t="s">
        <v>1849</v>
      </c>
      <c r="BV1084" t="s">
        <v>86</v>
      </c>
      <c r="BY1084">
        <v>16965</v>
      </c>
      <c r="CA1084" t="s">
        <v>508</v>
      </c>
      <c r="CC1084" t="s">
        <v>224</v>
      </c>
      <c r="CD1084">
        <v>1459</v>
      </c>
      <c r="CE1084" t="s">
        <v>191</v>
      </c>
      <c r="CF1084" s="3">
        <v>45940</v>
      </c>
      <c r="CI1084">
        <v>1</v>
      </c>
      <c r="CJ1084">
        <v>1</v>
      </c>
      <c r="CK1084">
        <v>32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"080068401657"</f>
        <v>080068401657</v>
      </c>
      <c r="F1085" s="3">
        <v>45938</v>
      </c>
      <c r="G1085">
        <v>202607</v>
      </c>
      <c r="H1085" t="s">
        <v>79</v>
      </c>
      <c r="I1085" t="s">
        <v>80</v>
      </c>
      <c r="J1085" t="s">
        <v>91</v>
      </c>
      <c r="K1085" t="s">
        <v>78</v>
      </c>
      <c r="L1085" t="s">
        <v>333</v>
      </c>
      <c r="M1085" t="s">
        <v>334</v>
      </c>
      <c r="N1085" t="s">
        <v>1388</v>
      </c>
      <c r="O1085" t="s">
        <v>82</v>
      </c>
      <c r="P1085" t="str">
        <f>"4170063683                    "</f>
        <v xml:space="preserve">4170063683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150.80000000000001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2</v>
      </c>
      <c r="BI1085">
        <v>10</v>
      </c>
      <c r="BJ1085">
        <v>13.3</v>
      </c>
      <c r="BK1085">
        <v>13.5</v>
      </c>
      <c r="BL1085">
        <v>478.62</v>
      </c>
      <c r="BM1085">
        <v>71.790000000000006</v>
      </c>
      <c r="BN1085">
        <v>550.41</v>
      </c>
      <c r="BO1085">
        <v>550.41</v>
      </c>
      <c r="BQ1085" t="s">
        <v>1389</v>
      </c>
      <c r="BR1085" t="s">
        <v>97</v>
      </c>
      <c r="BS1085" s="3">
        <v>45939</v>
      </c>
      <c r="BT1085" s="4">
        <v>0.40486111111111112</v>
      </c>
      <c r="BU1085" t="s">
        <v>1734</v>
      </c>
      <c r="BV1085" t="s">
        <v>86</v>
      </c>
      <c r="BY1085">
        <v>66304</v>
      </c>
      <c r="CA1085" t="s">
        <v>142</v>
      </c>
      <c r="CC1085" t="s">
        <v>334</v>
      </c>
      <c r="CD1085">
        <v>6220</v>
      </c>
      <c r="CE1085" t="s">
        <v>1850</v>
      </c>
      <c r="CF1085" s="3">
        <v>45939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"080011643552"</f>
        <v>080011643552</v>
      </c>
      <c r="F1086" s="3">
        <v>45939</v>
      </c>
      <c r="G1086">
        <v>202607</v>
      </c>
      <c r="H1086" t="s">
        <v>206</v>
      </c>
      <c r="I1086" t="s">
        <v>207</v>
      </c>
      <c r="J1086" t="s">
        <v>1851</v>
      </c>
      <c r="K1086" t="s">
        <v>78</v>
      </c>
      <c r="L1086" t="s">
        <v>79</v>
      </c>
      <c r="M1086" t="s">
        <v>80</v>
      </c>
      <c r="N1086" t="s">
        <v>81</v>
      </c>
      <c r="O1086" t="s">
        <v>82</v>
      </c>
      <c r="P1086" t="str">
        <f>"Gift                          "</f>
        <v xml:space="preserve">Gift      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83.78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3</v>
      </c>
      <c r="BJ1086">
        <v>7.2</v>
      </c>
      <c r="BK1086">
        <v>7.5</v>
      </c>
      <c r="BL1086">
        <v>265.92</v>
      </c>
      <c r="BM1086">
        <v>39.89</v>
      </c>
      <c r="BN1086">
        <v>305.81</v>
      </c>
      <c r="BO1086">
        <v>305.81</v>
      </c>
      <c r="BQ1086" t="s">
        <v>83</v>
      </c>
      <c r="BR1086" t="s">
        <v>1852</v>
      </c>
      <c r="BS1086" s="3">
        <v>45940</v>
      </c>
      <c r="BT1086" s="4">
        <v>0.41180555555555554</v>
      </c>
      <c r="BU1086" t="s">
        <v>85</v>
      </c>
      <c r="BV1086" t="s">
        <v>86</v>
      </c>
      <c r="BY1086">
        <v>36000</v>
      </c>
      <c r="BZ1086" t="s">
        <v>87</v>
      </c>
      <c r="CA1086" t="s">
        <v>88</v>
      </c>
      <c r="CC1086" t="s">
        <v>80</v>
      </c>
      <c r="CD1086">
        <v>1619</v>
      </c>
      <c r="CE1086" t="s">
        <v>89</v>
      </c>
      <c r="CF1086" s="3">
        <v>45940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"080068414556"</f>
        <v>080068414556</v>
      </c>
      <c r="F1087" s="3">
        <v>45939</v>
      </c>
      <c r="G1087">
        <v>202607</v>
      </c>
      <c r="H1087" t="s">
        <v>79</v>
      </c>
      <c r="I1087" t="s">
        <v>80</v>
      </c>
      <c r="J1087" t="s">
        <v>91</v>
      </c>
      <c r="K1087" t="s">
        <v>78</v>
      </c>
      <c r="L1087" t="s">
        <v>195</v>
      </c>
      <c r="M1087" t="s">
        <v>196</v>
      </c>
      <c r="N1087" t="s">
        <v>197</v>
      </c>
      <c r="O1087" t="s">
        <v>95</v>
      </c>
      <c r="P1087" t="str">
        <f>"4170063710                    "</f>
        <v xml:space="preserve">4170063710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104.57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2</v>
      </c>
      <c r="BI1087">
        <v>29</v>
      </c>
      <c r="BJ1087">
        <v>26.6</v>
      </c>
      <c r="BK1087">
        <v>29</v>
      </c>
      <c r="BL1087">
        <v>337.77</v>
      </c>
      <c r="BM1087">
        <v>50.67</v>
      </c>
      <c r="BN1087">
        <v>388.44</v>
      </c>
      <c r="BO1087">
        <v>388.44</v>
      </c>
      <c r="BQ1087" t="s">
        <v>198</v>
      </c>
      <c r="BR1087" t="s">
        <v>97</v>
      </c>
      <c r="BS1087" s="3">
        <v>45940</v>
      </c>
      <c r="BT1087" s="4">
        <v>0.35138888888888886</v>
      </c>
      <c r="BU1087" t="s">
        <v>1853</v>
      </c>
      <c r="BV1087" t="s">
        <v>86</v>
      </c>
      <c r="BY1087">
        <v>132960</v>
      </c>
      <c r="CA1087" t="s">
        <v>200</v>
      </c>
      <c r="CC1087" t="s">
        <v>196</v>
      </c>
      <c r="CD1087">
        <v>1900</v>
      </c>
      <c r="CE1087" t="s">
        <v>191</v>
      </c>
      <c r="CF1087" s="3">
        <v>45940</v>
      </c>
      <c r="CI1087">
        <v>1</v>
      </c>
      <c r="CJ1087">
        <v>1</v>
      </c>
      <c r="CK1087">
        <v>43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"080068414843"</f>
        <v>080068414843</v>
      </c>
      <c r="F1088" s="3">
        <v>45939</v>
      </c>
      <c r="G1088">
        <v>202607</v>
      </c>
      <c r="H1088" t="s">
        <v>79</v>
      </c>
      <c r="I1088" t="s">
        <v>80</v>
      </c>
      <c r="J1088" t="s">
        <v>91</v>
      </c>
      <c r="K1088" t="s">
        <v>78</v>
      </c>
      <c r="L1088" t="s">
        <v>108</v>
      </c>
      <c r="M1088" t="s">
        <v>109</v>
      </c>
      <c r="N1088" t="s">
        <v>1854</v>
      </c>
      <c r="O1088" t="s">
        <v>82</v>
      </c>
      <c r="P1088" t="str">
        <f>"4170063729                    "</f>
        <v xml:space="preserve">4170063729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22.36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70.959999999999994</v>
      </c>
      <c r="BM1088">
        <v>10.64</v>
      </c>
      <c r="BN1088">
        <v>81.599999999999994</v>
      </c>
      <c r="BO1088">
        <v>81.599999999999994</v>
      </c>
      <c r="BQ1088" t="s">
        <v>1855</v>
      </c>
      <c r="BR1088" t="s">
        <v>97</v>
      </c>
      <c r="BS1088" s="3">
        <v>45940</v>
      </c>
      <c r="BT1088" s="4">
        <v>0.65694444444444444</v>
      </c>
      <c r="BU1088" t="s">
        <v>1856</v>
      </c>
      <c r="BV1088" t="s">
        <v>90</v>
      </c>
      <c r="BW1088" t="s">
        <v>136</v>
      </c>
      <c r="BX1088" t="s">
        <v>338</v>
      </c>
      <c r="BY1088">
        <v>1200</v>
      </c>
      <c r="CA1088" t="s">
        <v>559</v>
      </c>
      <c r="CC1088" t="s">
        <v>109</v>
      </c>
      <c r="CD1088">
        <v>6020</v>
      </c>
      <c r="CE1088" t="s">
        <v>147</v>
      </c>
      <c r="CF1088" s="3">
        <v>45940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"080068414881"</f>
        <v>080068414881</v>
      </c>
      <c r="F1089" s="3">
        <v>45939</v>
      </c>
      <c r="G1089">
        <v>202607</v>
      </c>
      <c r="H1089" t="s">
        <v>79</v>
      </c>
      <c r="I1089" t="s">
        <v>80</v>
      </c>
      <c r="J1089" t="s">
        <v>91</v>
      </c>
      <c r="K1089" t="s">
        <v>78</v>
      </c>
      <c r="L1089" t="s">
        <v>121</v>
      </c>
      <c r="M1089" t="s">
        <v>122</v>
      </c>
      <c r="N1089" t="s">
        <v>1023</v>
      </c>
      <c r="O1089" t="s">
        <v>82</v>
      </c>
      <c r="P1089" t="str">
        <f>"4170063730                    "</f>
        <v xml:space="preserve">4170063730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22.36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70.959999999999994</v>
      </c>
      <c r="BM1089">
        <v>10.64</v>
      </c>
      <c r="BN1089">
        <v>81.599999999999994</v>
      </c>
      <c r="BO1089">
        <v>81.599999999999994</v>
      </c>
      <c r="BQ1089" t="s">
        <v>1024</v>
      </c>
      <c r="BR1089" t="s">
        <v>97</v>
      </c>
      <c r="BS1089" s="3">
        <v>45940</v>
      </c>
      <c r="BT1089" s="4">
        <v>0.4861111111111111</v>
      </c>
      <c r="BU1089" t="s">
        <v>1136</v>
      </c>
      <c r="BV1089" t="s">
        <v>90</v>
      </c>
      <c r="BW1089" t="s">
        <v>136</v>
      </c>
      <c r="BX1089" t="s">
        <v>858</v>
      </c>
      <c r="BY1089">
        <v>1200</v>
      </c>
      <c r="CA1089" t="s">
        <v>1406</v>
      </c>
      <c r="CC1089" t="s">
        <v>122</v>
      </c>
      <c r="CD1089">
        <v>4000</v>
      </c>
      <c r="CE1089" t="s">
        <v>147</v>
      </c>
      <c r="CF1089" s="3">
        <v>45940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"080068414929"</f>
        <v>080068414929</v>
      </c>
      <c r="F1090" s="3">
        <v>45939</v>
      </c>
      <c r="G1090">
        <v>202607</v>
      </c>
      <c r="H1090" t="s">
        <v>79</v>
      </c>
      <c r="I1090" t="s">
        <v>80</v>
      </c>
      <c r="J1090" t="s">
        <v>91</v>
      </c>
      <c r="K1090" t="s">
        <v>78</v>
      </c>
      <c r="L1090" t="s">
        <v>108</v>
      </c>
      <c r="M1090" t="s">
        <v>109</v>
      </c>
      <c r="N1090" t="s">
        <v>256</v>
      </c>
      <c r="O1090" t="s">
        <v>82</v>
      </c>
      <c r="P1090" t="str">
        <f>"4170063711                    "</f>
        <v xml:space="preserve">4170063711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22.36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70.959999999999994</v>
      </c>
      <c r="BM1090">
        <v>10.64</v>
      </c>
      <c r="BN1090">
        <v>81.599999999999994</v>
      </c>
      <c r="BO1090">
        <v>81.599999999999994</v>
      </c>
      <c r="BQ1090" t="s">
        <v>257</v>
      </c>
      <c r="BR1090" t="s">
        <v>97</v>
      </c>
      <c r="BS1090" s="3">
        <v>45940</v>
      </c>
      <c r="BT1090" s="4">
        <v>0.3888888888888889</v>
      </c>
      <c r="BU1090" t="s">
        <v>1857</v>
      </c>
      <c r="BV1090" t="s">
        <v>86</v>
      </c>
      <c r="BY1090">
        <v>1200</v>
      </c>
      <c r="CA1090" t="s">
        <v>1858</v>
      </c>
      <c r="CC1090" t="s">
        <v>109</v>
      </c>
      <c r="CD1090">
        <v>6001</v>
      </c>
      <c r="CE1090" t="s">
        <v>147</v>
      </c>
      <c r="CF1090" s="3">
        <v>45940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"080068414944"</f>
        <v>080068414944</v>
      </c>
      <c r="F1091" s="3">
        <v>45939</v>
      </c>
      <c r="G1091">
        <v>202607</v>
      </c>
      <c r="H1091" t="s">
        <v>79</v>
      </c>
      <c r="I1091" t="s">
        <v>80</v>
      </c>
      <c r="J1091" t="s">
        <v>91</v>
      </c>
      <c r="K1091" t="s">
        <v>78</v>
      </c>
      <c r="L1091" t="s">
        <v>333</v>
      </c>
      <c r="M1091" t="s">
        <v>334</v>
      </c>
      <c r="N1091" t="s">
        <v>794</v>
      </c>
      <c r="O1091" t="s">
        <v>82</v>
      </c>
      <c r="P1091" t="str">
        <f>"4170063677                    "</f>
        <v xml:space="preserve">4170063677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22.36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1.1000000000000001</v>
      </c>
      <c r="BK1091">
        <v>2</v>
      </c>
      <c r="BL1091">
        <v>70.959999999999994</v>
      </c>
      <c r="BM1091">
        <v>10.64</v>
      </c>
      <c r="BN1091">
        <v>81.599999999999994</v>
      </c>
      <c r="BO1091">
        <v>81.599999999999994</v>
      </c>
      <c r="BQ1091" t="s">
        <v>795</v>
      </c>
      <c r="BR1091" t="s">
        <v>97</v>
      </c>
      <c r="BS1091" s="3">
        <v>45940</v>
      </c>
      <c r="BT1091" s="4">
        <v>0.43402777777777779</v>
      </c>
      <c r="BU1091" t="s">
        <v>796</v>
      </c>
      <c r="BV1091" t="s">
        <v>86</v>
      </c>
      <c r="BY1091">
        <v>5510</v>
      </c>
      <c r="CA1091" t="s">
        <v>1858</v>
      </c>
      <c r="CC1091" t="s">
        <v>334</v>
      </c>
      <c r="CD1091">
        <v>6220</v>
      </c>
      <c r="CE1091" t="s">
        <v>191</v>
      </c>
      <c r="CF1091" s="3">
        <v>45940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"080068414970"</f>
        <v>080068414970</v>
      </c>
      <c r="F1092" s="3">
        <v>45939</v>
      </c>
      <c r="G1092">
        <v>202607</v>
      </c>
      <c r="H1092" t="s">
        <v>79</v>
      </c>
      <c r="I1092" t="s">
        <v>80</v>
      </c>
      <c r="J1092" t="s">
        <v>91</v>
      </c>
      <c r="K1092" t="s">
        <v>78</v>
      </c>
      <c r="L1092" t="s">
        <v>121</v>
      </c>
      <c r="M1092" t="s">
        <v>122</v>
      </c>
      <c r="N1092" t="s">
        <v>123</v>
      </c>
      <c r="O1092" t="s">
        <v>82</v>
      </c>
      <c r="P1092" t="str">
        <f>"4170063731                    "</f>
        <v xml:space="preserve">4170063731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22.36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70.959999999999994</v>
      </c>
      <c r="BM1092">
        <v>10.64</v>
      </c>
      <c r="BN1092">
        <v>81.599999999999994</v>
      </c>
      <c r="BO1092">
        <v>81.599999999999994</v>
      </c>
      <c r="BQ1092" t="s">
        <v>124</v>
      </c>
      <c r="BR1092" t="s">
        <v>97</v>
      </c>
      <c r="BS1092" s="3">
        <v>45940</v>
      </c>
      <c r="BT1092" s="4">
        <v>0.35694444444444445</v>
      </c>
      <c r="BU1092" t="s">
        <v>201</v>
      </c>
      <c r="BV1092" t="s">
        <v>86</v>
      </c>
      <c r="BY1092">
        <v>1200</v>
      </c>
      <c r="CA1092" t="s">
        <v>126</v>
      </c>
      <c r="CC1092" t="s">
        <v>122</v>
      </c>
      <c r="CD1092">
        <v>4000</v>
      </c>
      <c r="CE1092" t="s">
        <v>147</v>
      </c>
      <c r="CF1092" s="3">
        <v>45940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"080068414989"</f>
        <v>080068414989</v>
      </c>
      <c r="F1093" s="3">
        <v>45939</v>
      </c>
      <c r="G1093">
        <v>202607</v>
      </c>
      <c r="H1093" t="s">
        <v>79</v>
      </c>
      <c r="I1093" t="s">
        <v>80</v>
      </c>
      <c r="J1093" t="s">
        <v>91</v>
      </c>
      <c r="K1093" t="s">
        <v>78</v>
      </c>
      <c r="L1093" t="s">
        <v>121</v>
      </c>
      <c r="M1093" t="s">
        <v>122</v>
      </c>
      <c r="N1093" t="s">
        <v>123</v>
      </c>
      <c r="O1093" t="s">
        <v>82</v>
      </c>
      <c r="P1093" t="str">
        <f>"4170063706                    "</f>
        <v xml:space="preserve">4170063706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22.36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1.8</v>
      </c>
      <c r="BK1093">
        <v>2</v>
      </c>
      <c r="BL1093">
        <v>70.959999999999994</v>
      </c>
      <c r="BM1093">
        <v>10.64</v>
      </c>
      <c r="BN1093">
        <v>81.599999999999994</v>
      </c>
      <c r="BO1093">
        <v>81.599999999999994</v>
      </c>
      <c r="BQ1093" t="s">
        <v>124</v>
      </c>
      <c r="BR1093" t="s">
        <v>97</v>
      </c>
      <c r="BS1093" s="3">
        <v>45940</v>
      </c>
      <c r="BT1093" s="4">
        <v>0.35694444444444445</v>
      </c>
      <c r="BU1093" t="s">
        <v>201</v>
      </c>
      <c r="BV1093" t="s">
        <v>86</v>
      </c>
      <c r="BY1093">
        <v>8816</v>
      </c>
      <c r="CA1093" t="s">
        <v>126</v>
      </c>
      <c r="CC1093" t="s">
        <v>122</v>
      </c>
      <c r="CD1093">
        <v>4051</v>
      </c>
      <c r="CE1093" t="s">
        <v>191</v>
      </c>
      <c r="CF1093" s="3">
        <v>45940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"080068415037"</f>
        <v>080068415037</v>
      </c>
      <c r="F1094" s="3">
        <v>45939</v>
      </c>
      <c r="G1094">
        <v>202607</v>
      </c>
      <c r="H1094" t="s">
        <v>79</v>
      </c>
      <c r="I1094" t="s">
        <v>80</v>
      </c>
      <c r="J1094" t="s">
        <v>91</v>
      </c>
      <c r="K1094" t="s">
        <v>78</v>
      </c>
      <c r="L1094" t="s">
        <v>1383</v>
      </c>
      <c r="M1094" t="s">
        <v>1384</v>
      </c>
      <c r="N1094" t="s">
        <v>1859</v>
      </c>
      <c r="O1094" t="s">
        <v>82</v>
      </c>
      <c r="P1094" t="str">
        <f>"4170063736                    "</f>
        <v xml:space="preserve">4170063736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43.31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</v>
      </c>
      <c r="BJ1094">
        <v>1.4</v>
      </c>
      <c r="BK1094">
        <v>2</v>
      </c>
      <c r="BL1094">
        <v>137.47</v>
      </c>
      <c r="BM1094">
        <v>20.62</v>
      </c>
      <c r="BN1094">
        <v>158.09</v>
      </c>
      <c r="BO1094">
        <v>158.09</v>
      </c>
      <c r="BQ1094" t="s">
        <v>1860</v>
      </c>
      <c r="BR1094" t="s">
        <v>97</v>
      </c>
      <c r="BS1094" s="3">
        <v>45944</v>
      </c>
      <c r="BT1094" s="4">
        <v>0.41666666666666669</v>
      </c>
      <c r="BU1094" t="s">
        <v>1861</v>
      </c>
      <c r="BV1094" t="s">
        <v>90</v>
      </c>
      <c r="BW1094" t="s">
        <v>188</v>
      </c>
      <c r="BX1094" t="s">
        <v>1862</v>
      </c>
      <c r="BY1094">
        <v>7000</v>
      </c>
      <c r="CC1094" t="s">
        <v>1384</v>
      </c>
      <c r="CD1094">
        <v>4240</v>
      </c>
      <c r="CE1094" t="s">
        <v>191</v>
      </c>
      <c r="CF1094" s="3">
        <v>45944</v>
      </c>
      <c r="CI1094">
        <v>2</v>
      </c>
      <c r="CJ1094">
        <v>3</v>
      </c>
      <c r="CK1094">
        <v>23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"080068415057"</f>
        <v>080068415057</v>
      </c>
      <c r="F1095" s="3">
        <v>45939</v>
      </c>
      <c r="G1095">
        <v>202607</v>
      </c>
      <c r="H1095" t="s">
        <v>79</v>
      </c>
      <c r="I1095" t="s">
        <v>80</v>
      </c>
      <c r="J1095" t="s">
        <v>91</v>
      </c>
      <c r="K1095" t="s">
        <v>78</v>
      </c>
      <c r="L1095" t="s">
        <v>114</v>
      </c>
      <c r="M1095" t="s">
        <v>115</v>
      </c>
      <c r="N1095" t="s">
        <v>746</v>
      </c>
      <c r="O1095" t="s">
        <v>82</v>
      </c>
      <c r="P1095" t="str">
        <f>"4170063722                    "</f>
        <v xml:space="preserve">4170063722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33.520000000000003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3</v>
      </c>
      <c r="BJ1095">
        <v>1.4</v>
      </c>
      <c r="BK1095">
        <v>3</v>
      </c>
      <c r="BL1095">
        <v>106.4</v>
      </c>
      <c r="BM1095">
        <v>15.96</v>
      </c>
      <c r="BN1095">
        <v>122.36</v>
      </c>
      <c r="BO1095">
        <v>122.36</v>
      </c>
      <c r="BQ1095" t="s">
        <v>747</v>
      </c>
      <c r="BR1095" t="s">
        <v>97</v>
      </c>
      <c r="BS1095" s="3">
        <v>45940</v>
      </c>
      <c r="BT1095" s="4">
        <v>0.54374999999999996</v>
      </c>
      <c r="BU1095" t="s">
        <v>1863</v>
      </c>
      <c r="BV1095" t="s">
        <v>90</v>
      </c>
      <c r="BY1095">
        <v>7000</v>
      </c>
      <c r="CA1095" t="s">
        <v>749</v>
      </c>
      <c r="CC1095" t="s">
        <v>115</v>
      </c>
      <c r="CD1095">
        <v>5201</v>
      </c>
      <c r="CE1095" t="s">
        <v>191</v>
      </c>
      <c r="CF1095" s="3">
        <v>45940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"080068415089"</f>
        <v>080068415089</v>
      </c>
      <c r="F1096" s="3">
        <v>45939</v>
      </c>
      <c r="G1096">
        <v>202607</v>
      </c>
      <c r="H1096" t="s">
        <v>79</v>
      </c>
      <c r="I1096" t="s">
        <v>80</v>
      </c>
      <c r="J1096" t="s">
        <v>91</v>
      </c>
      <c r="K1096" t="s">
        <v>78</v>
      </c>
      <c r="L1096" t="s">
        <v>206</v>
      </c>
      <c r="M1096" t="s">
        <v>207</v>
      </c>
      <c r="N1096" t="s">
        <v>1864</v>
      </c>
      <c r="O1096" t="s">
        <v>82</v>
      </c>
      <c r="P1096" t="str">
        <f>"4170063679                    "</f>
        <v xml:space="preserve">4170063679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22.36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1.1000000000000001</v>
      </c>
      <c r="BK1096">
        <v>2</v>
      </c>
      <c r="BL1096">
        <v>70.959999999999994</v>
      </c>
      <c r="BM1096">
        <v>10.64</v>
      </c>
      <c r="BN1096">
        <v>81.599999999999994</v>
      </c>
      <c r="BO1096">
        <v>81.599999999999994</v>
      </c>
      <c r="BQ1096" t="s">
        <v>1865</v>
      </c>
      <c r="BR1096" t="s">
        <v>97</v>
      </c>
      <c r="BS1096" s="3">
        <v>45940</v>
      </c>
      <c r="BT1096" s="4">
        <v>0.40486111111111112</v>
      </c>
      <c r="BU1096" t="s">
        <v>1866</v>
      </c>
      <c r="BV1096" t="s">
        <v>86</v>
      </c>
      <c r="BY1096">
        <v>5510</v>
      </c>
      <c r="CA1096" t="s">
        <v>423</v>
      </c>
      <c r="CC1096" t="s">
        <v>207</v>
      </c>
      <c r="CD1096">
        <v>7560</v>
      </c>
      <c r="CE1096" t="s">
        <v>191</v>
      </c>
      <c r="CF1096" s="3">
        <v>45943</v>
      </c>
      <c r="CI1096">
        <v>1</v>
      </c>
      <c r="CJ1096">
        <v>1</v>
      </c>
      <c r="CK1096">
        <v>21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"080068415129"</f>
        <v>080068415129</v>
      </c>
      <c r="F1097" s="3">
        <v>45939</v>
      </c>
      <c r="G1097">
        <v>202607</v>
      </c>
      <c r="H1097" t="s">
        <v>79</v>
      </c>
      <c r="I1097" t="s">
        <v>80</v>
      </c>
      <c r="J1097" t="s">
        <v>91</v>
      </c>
      <c r="K1097" t="s">
        <v>78</v>
      </c>
      <c r="L1097" t="s">
        <v>108</v>
      </c>
      <c r="M1097" t="s">
        <v>109</v>
      </c>
      <c r="N1097" t="s">
        <v>515</v>
      </c>
      <c r="O1097" t="s">
        <v>82</v>
      </c>
      <c r="P1097" t="str">
        <f>"4170063709                    "</f>
        <v xml:space="preserve">4170063709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89.37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5</v>
      </c>
      <c r="BJ1097">
        <v>8</v>
      </c>
      <c r="BK1097">
        <v>8</v>
      </c>
      <c r="BL1097">
        <v>283.64999999999998</v>
      </c>
      <c r="BM1097">
        <v>42.55</v>
      </c>
      <c r="BN1097">
        <v>326.2</v>
      </c>
      <c r="BO1097">
        <v>326.2</v>
      </c>
      <c r="BQ1097" t="s">
        <v>516</v>
      </c>
      <c r="BR1097" t="s">
        <v>97</v>
      </c>
      <c r="BS1097" s="3">
        <v>45940</v>
      </c>
      <c r="BT1097" s="4">
        <v>0.43055555555555558</v>
      </c>
      <c r="BU1097" t="s">
        <v>1580</v>
      </c>
      <c r="BV1097" t="s">
        <v>86</v>
      </c>
      <c r="BY1097">
        <v>39936</v>
      </c>
      <c r="CC1097" t="s">
        <v>109</v>
      </c>
      <c r="CD1097">
        <v>6001</v>
      </c>
      <c r="CE1097" t="s">
        <v>107</v>
      </c>
      <c r="CF1097" s="3">
        <v>45940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"080068415163"</f>
        <v>080068415163</v>
      </c>
      <c r="F1098" s="3">
        <v>45939</v>
      </c>
      <c r="G1098">
        <v>202607</v>
      </c>
      <c r="H1098" t="s">
        <v>79</v>
      </c>
      <c r="I1098" t="s">
        <v>80</v>
      </c>
      <c r="J1098" t="s">
        <v>91</v>
      </c>
      <c r="K1098" t="s">
        <v>78</v>
      </c>
      <c r="L1098" t="s">
        <v>148</v>
      </c>
      <c r="M1098" t="s">
        <v>149</v>
      </c>
      <c r="N1098" t="s">
        <v>869</v>
      </c>
      <c r="O1098" t="s">
        <v>226</v>
      </c>
      <c r="P1098" t="str">
        <f>"4170063701                    "</f>
        <v xml:space="preserve">4170063701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17.47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4.5</v>
      </c>
      <c r="BK1098">
        <v>5</v>
      </c>
      <c r="BL1098">
        <v>55.44</v>
      </c>
      <c r="BM1098">
        <v>8.32</v>
      </c>
      <c r="BN1098">
        <v>63.76</v>
      </c>
      <c r="BO1098">
        <v>63.76</v>
      </c>
      <c r="BQ1098" t="s">
        <v>870</v>
      </c>
      <c r="BR1098" t="s">
        <v>97</v>
      </c>
      <c r="BS1098" s="3">
        <v>45940</v>
      </c>
      <c r="BT1098" s="4">
        <v>0.43541666666666667</v>
      </c>
      <c r="BU1098" t="s">
        <v>1867</v>
      </c>
      <c r="BV1098" t="s">
        <v>86</v>
      </c>
      <c r="BY1098">
        <v>22440</v>
      </c>
      <c r="CA1098" t="s">
        <v>1868</v>
      </c>
      <c r="CC1098" t="s">
        <v>149</v>
      </c>
      <c r="CD1098">
        <v>2092</v>
      </c>
      <c r="CE1098" t="s">
        <v>107</v>
      </c>
      <c r="CF1098" s="3">
        <v>45941</v>
      </c>
      <c r="CI1098">
        <v>1</v>
      </c>
      <c r="CJ1098">
        <v>1</v>
      </c>
      <c r="CK1098">
        <v>32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"080068415178"</f>
        <v>080068415178</v>
      </c>
      <c r="F1099" s="3">
        <v>45939</v>
      </c>
      <c r="G1099">
        <v>202607</v>
      </c>
      <c r="H1099" t="s">
        <v>79</v>
      </c>
      <c r="I1099" t="s">
        <v>80</v>
      </c>
      <c r="J1099" t="s">
        <v>91</v>
      </c>
      <c r="K1099" t="s">
        <v>78</v>
      </c>
      <c r="L1099" t="s">
        <v>763</v>
      </c>
      <c r="M1099" t="s">
        <v>764</v>
      </c>
      <c r="N1099" t="s">
        <v>765</v>
      </c>
      <c r="O1099" t="s">
        <v>82</v>
      </c>
      <c r="P1099" t="str">
        <f>"4170063693                    "</f>
        <v xml:space="preserve">4170063693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141.11000000000001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4.5</v>
      </c>
      <c r="BJ1099">
        <v>6.6</v>
      </c>
      <c r="BK1099">
        <v>7</v>
      </c>
      <c r="BL1099">
        <v>447.87</v>
      </c>
      <c r="BM1099">
        <v>67.180000000000007</v>
      </c>
      <c r="BN1099">
        <v>515.04999999999995</v>
      </c>
      <c r="BO1099">
        <v>515.04999999999995</v>
      </c>
      <c r="BQ1099" t="s">
        <v>766</v>
      </c>
      <c r="BR1099" t="s">
        <v>97</v>
      </c>
      <c r="BS1099" s="3">
        <v>45940</v>
      </c>
      <c r="BT1099" s="4">
        <v>0.4</v>
      </c>
      <c r="BU1099" t="s">
        <v>1869</v>
      </c>
      <c r="BV1099" t="s">
        <v>86</v>
      </c>
      <c r="BY1099">
        <v>32789.58</v>
      </c>
      <c r="CA1099" t="s">
        <v>768</v>
      </c>
      <c r="CC1099" t="s">
        <v>764</v>
      </c>
      <c r="CD1099">
        <v>2531</v>
      </c>
      <c r="CE1099" t="s">
        <v>107</v>
      </c>
      <c r="CF1099" s="3">
        <v>45943</v>
      </c>
      <c r="CI1099">
        <v>1</v>
      </c>
      <c r="CJ1099">
        <v>1</v>
      </c>
      <c r="CK1099">
        <v>23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"080068415243"</f>
        <v>080068415243</v>
      </c>
      <c r="F1100" s="3">
        <v>45939</v>
      </c>
      <c r="G1100">
        <v>202607</v>
      </c>
      <c r="H1100" t="s">
        <v>79</v>
      </c>
      <c r="I1100" t="s">
        <v>80</v>
      </c>
      <c r="J1100" t="s">
        <v>91</v>
      </c>
      <c r="K1100" t="s">
        <v>78</v>
      </c>
      <c r="L1100" t="s">
        <v>333</v>
      </c>
      <c r="M1100" t="s">
        <v>334</v>
      </c>
      <c r="N1100" t="s">
        <v>1388</v>
      </c>
      <c r="O1100" t="s">
        <v>82</v>
      </c>
      <c r="P1100" t="str">
        <f>"4170063718                    "</f>
        <v xml:space="preserve">4170063718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22.36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70.959999999999994</v>
      </c>
      <c r="BM1100">
        <v>10.64</v>
      </c>
      <c r="BN1100">
        <v>81.599999999999994</v>
      </c>
      <c r="BO1100">
        <v>81.599999999999994</v>
      </c>
      <c r="BQ1100" t="s">
        <v>1389</v>
      </c>
      <c r="BR1100" t="s">
        <v>97</v>
      </c>
      <c r="BS1100" s="3">
        <v>45940</v>
      </c>
      <c r="BT1100" s="4">
        <v>0.41875000000000001</v>
      </c>
      <c r="BU1100" t="s">
        <v>1870</v>
      </c>
      <c r="BV1100" t="s">
        <v>86</v>
      </c>
      <c r="BY1100">
        <v>1200</v>
      </c>
      <c r="CA1100" t="s">
        <v>1858</v>
      </c>
      <c r="CC1100" t="s">
        <v>334</v>
      </c>
      <c r="CD1100">
        <v>6220</v>
      </c>
      <c r="CE1100" t="s">
        <v>147</v>
      </c>
      <c r="CF1100" s="3">
        <v>45940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"080068415245"</f>
        <v>080068415245</v>
      </c>
      <c r="F1101" s="3">
        <v>45939</v>
      </c>
      <c r="G1101">
        <v>202607</v>
      </c>
      <c r="H1101" t="s">
        <v>79</v>
      </c>
      <c r="I1101" t="s">
        <v>80</v>
      </c>
      <c r="J1101" t="s">
        <v>91</v>
      </c>
      <c r="K1101" t="s">
        <v>78</v>
      </c>
      <c r="L1101" t="s">
        <v>168</v>
      </c>
      <c r="M1101" t="s">
        <v>169</v>
      </c>
      <c r="N1101" t="s">
        <v>584</v>
      </c>
      <c r="O1101" t="s">
        <v>95</v>
      </c>
      <c r="P1101" t="str">
        <f>"4170063690                    "</f>
        <v xml:space="preserve">4170063690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43.23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4.0999999999999996</v>
      </c>
      <c r="BK1101">
        <v>5</v>
      </c>
      <c r="BL1101">
        <v>143.08000000000001</v>
      </c>
      <c r="BM1101">
        <v>21.46</v>
      </c>
      <c r="BN1101">
        <v>164.54</v>
      </c>
      <c r="BO1101">
        <v>164.54</v>
      </c>
      <c r="BQ1101" t="s">
        <v>585</v>
      </c>
      <c r="BR1101" t="s">
        <v>97</v>
      </c>
      <c r="BS1101" s="3">
        <v>45940</v>
      </c>
      <c r="BT1101" s="4">
        <v>0.43333333333333335</v>
      </c>
      <c r="BU1101" t="s">
        <v>1159</v>
      </c>
      <c r="BV1101" t="s">
        <v>86</v>
      </c>
      <c r="BY1101">
        <v>20400</v>
      </c>
      <c r="CC1101" t="s">
        <v>169</v>
      </c>
      <c r="CD1101" s="5" t="s">
        <v>190</v>
      </c>
      <c r="CE1101" t="s">
        <v>107</v>
      </c>
      <c r="CF1101" s="3">
        <v>45940</v>
      </c>
      <c r="CI1101">
        <v>1</v>
      </c>
      <c r="CJ1101">
        <v>1</v>
      </c>
      <c r="CK1101">
        <v>41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"080068415268"</f>
        <v>080068415268</v>
      </c>
      <c r="F1102" s="3">
        <v>45939</v>
      </c>
      <c r="G1102">
        <v>202607</v>
      </c>
      <c r="H1102" t="s">
        <v>79</v>
      </c>
      <c r="I1102" t="s">
        <v>80</v>
      </c>
      <c r="J1102" t="s">
        <v>91</v>
      </c>
      <c r="K1102" t="s">
        <v>78</v>
      </c>
      <c r="L1102" t="s">
        <v>92</v>
      </c>
      <c r="M1102" t="s">
        <v>93</v>
      </c>
      <c r="N1102" t="s">
        <v>1871</v>
      </c>
      <c r="O1102" t="s">
        <v>82</v>
      </c>
      <c r="P1102" t="str">
        <f>"4170063692                    "</f>
        <v xml:space="preserve">4170063692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22.36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16.739999999999998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87.7</v>
      </c>
      <c r="BM1102">
        <v>13.16</v>
      </c>
      <c r="BN1102">
        <v>100.86</v>
      </c>
      <c r="BO1102">
        <v>100.86</v>
      </c>
      <c r="BQ1102" t="s">
        <v>1872</v>
      </c>
      <c r="BR1102" t="s">
        <v>97</v>
      </c>
      <c r="BS1102" s="3">
        <v>45940</v>
      </c>
      <c r="BT1102" s="4">
        <v>0.46180555555555558</v>
      </c>
      <c r="BU1102" t="s">
        <v>1873</v>
      </c>
      <c r="BV1102" t="s">
        <v>86</v>
      </c>
      <c r="BY1102">
        <v>1200</v>
      </c>
      <c r="BZ1102" t="s">
        <v>30</v>
      </c>
      <c r="CA1102" t="s">
        <v>1699</v>
      </c>
      <c r="CC1102" t="s">
        <v>93</v>
      </c>
      <c r="CD1102">
        <v>3699</v>
      </c>
      <c r="CE1102" t="s">
        <v>147</v>
      </c>
      <c r="CF1102" s="3">
        <v>45941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"080068415315"</f>
        <v>080068415315</v>
      </c>
      <c r="F1103" s="3">
        <v>45939</v>
      </c>
      <c r="G1103">
        <v>202607</v>
      </c>
      <c r="H1103" t="s">
        <v>79</v>
      </c>
      <c r="I1103" t="s">
        <v>80</v>
      </c>
      <c r="J1103" t="s">
        <v>91</v>
      </c>
      <c r="K1103" t="s">
        <v>78</v>
      </c>
      <c r="L1103" t="s">
        <v>92</v>
      </c>
      <c r="M1103" t="s">
        <v>93</v>
      </c>
      <c r="N1103" t="s">
        <v>1874</v>
      </c>
      <c r="O1103" t="s">
        <v>95</v>
      </c>
      <c r="P1103" t="str">
        <f>"4170063694                    "</f>
        <v xml:space="preserve">4170063694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43.23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5</v>
      </c>
      <c r="BJ1103">
        <v>2.6</v>
      </c>
      <c r="BK1103">
        <v>5</v>
      </c>
      <c r="BL1103">
        <v>143.08000000000001</v>
      </c>
      <c r="BM1103">
        <v>21.46</v>
      </c>
      <c r="BN1103">
        <v>164.54</v>
      </c>
      <c r="BO1103">
        <v>164.54</v>
      </c>
      <c r="BQ1103" t="s">
        <v>1875</v>
      </c>
      <c r="BR1103" t="s">
        <v>97</v>
      </c>
      <c r="BS1103" s="3">
        <v>45940</v>
      </c>
      <c r="BT1103" s="4">
        <v>0.40277777777777779</v>
      </c>
      <c r="BU1103" t="s">
        <v>1875</v>
      </c>
      <c r="BV1103" t="s">
        <v>86</v>
      </c>
      <c r="BY1103">
        <v>12768</v>
      </c>
      <c r="CA1103" t="s">
        <v>1139</v>
      </c>
      <c r="CC1103" t="s">
        <v>93</v>
      </c>
      <c r="CD1103">
        <v>3201</v>
      </c>
      <c r="CE1103" t="s">
        <v>1435</v>
      </c>
      <c r="CF1103" s="3">
        <v>45941</v>
      </c>
      <c r="CI1103">
        <v>2</v>
      </c>
      <c r="CJ1103">
        <v>1</v>
      </c>
      <c r="CK1103">
        <v>41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"080068415353"</f>
        <v>080068415353</v>
      </c>
      <c r="F1104" s="3">
        <v>45939</v>
      </c>
      <c r="G1104">
        <v>202607</v>
      </c>
      <c r="H1104" t="s">
        <v>79</v>
      </c>
      <c r="I1104" t="s">
        <v>80</v>
      </c>
      <c r="J1104" t="s">
        <v>91</v>
      </c>
      <c r="K1104" t="s">
        <v>78</v>
      </c>
      <c r="L1104" t="s">
        <v>92</v>
      </c>
      <c r="M1104" t="s">
        <v>93</v>
      </c>
      <c r="N1104" t="s">
        <v>1876</v>
      </c>
      <c r="O1104" t="s">
        <v>82</v>
      </c>
      <c r="P1104" t="str">
        <f>"4170063721                    "</f>
        <v xml:space="preserve">4170063721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33.520000000000003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1.4</v>
      </c>
      <c r="BK1104">
        <v>3</v>
      </c>
      <c r="BL1104">
        <v>106.4</v>
      </c>
      <c r="BM1104">
        <v>15.96</v>
      </c>
      <c r="BN1104">
        <v>122.36</v>
      </c>
      <c r="BO1104">
        <v>122.36</v>
      </c>
      <c r="BQ1104" t="s">
        <v>1877</v>
      </c>
      <c r="BR1104" t="s">
        <v>97</v>
      </c>
      <c r="BS1104" s="3">
        <v>45940</v>
      </c>
      <c r="BT1104" s="4">
        <v>0.63402777777777775</v>
      </c>
      <c r="BU1104" t="s">
        <v>1878</v>
      </c>
      <c r="BV1104" t="s">
        <v>86</v>
      </c>
      <c r="BY1104">
        <v>6768</v>
      </c>
      <c r="CA1104" t="s">
        <v>100</v>
      </c>
      <c r="CC1104" t="s">
        <v>93</v>
      </c>
      <c r="CD1104">
        <v>3201</v>
      </c>
      <c r="CE1104" t="s">
        <v>107</v>
      </c>
      <c r="CF1104" s="3">
        <v>45941</v>
      </c>
      <c r="CI1104">
        <v>5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"080068415390"</f>
        <v>080068415390</v>
      </c>
      <c r="F1105" s="3">
        <v>45939</v>
      </c>
      <c r="G1105">
        <v>202607</v>
      </c>
      <c r="H1105" t="s">
        <v>79</v>
      </c>
      <c r="I1105" t="s">
        <v>80</v>
      </c>
      <c r="J1105" t="s">
        <v>91</v>
      </c>
      <c r="K1105" t="s">
        <v>78</v>
      </c>
      <c r="L1105" t="s">
        <v>206</v>
      </c>
      <c r="M1105" t="s">
        <v>207</v>
      </c>
      <c r="N1105" t="s">
        <v>656</v>
      </c>
      <c r="O1105" t="s">
        <v>82</v>
      </c>
      <c r="P1105" t="str">
        <f>"4170063727                    "</f>
        <v xml:space="preserve">4170063727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50.28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3</v>
      </c>
      <c r="BJ1105">
        <v>4.0999999999999996</v>
      </c>
      <c r="BK1105">
        <v>4.5</v>
      </c>
      <c r="BL1105">
        <v>159.58000000000001</v>
      </c>
      <c r="BM1105">
        <v>23.94</v>
      </c>
      <c r="BN1105">
        <v>183.52</v>
      </c>
      <c r="BO1105">
        <v>183.52</v>
      </c>
      <c r="BQ1105" t="s">
        <v>657</v>
      </c>
      <c r="BR1105" t="s">
        <v>97</v>
      </c>
      <c r="BS1105" s="3">
        <v>45940</v>
      </c>
      <c r="BT1105" s="4">
        <v>0.3888888888888889</v>
      </c>
      <c r="BU1105" t="s">
        <v>658</v>
      </c>
      <c r="BV1105" t="s">
        <v>86</v>
      </c>
      <c r="BY1105">
        <v>20358</v>
      </c>
      <c r="CA1105" t="s">
        <v>211</v>
      </c>
      <c r="CC1105" t="s">
        <v>207</v>
      </c>
      <c r="CD1105">
        <v>7441</v>
      </c>
      <c r="CE1105" t="s">
        <v>191</v>
      </c>
      <c r="CF1105" s="3">
        <v>45943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"080068415444"</f>
        <v>080068415444</v>
      </c>
      <c r="F1106" s="3">
        <v>45939</v>
      </c>
      <c r="G1106">
        <v>202607</v>
      </c>
      <c r="H1106" t="s">
        <v>79</v>
      </c>
      <c r="I1106" t="s">
        <v>80</v>
      </c>
      <c r="J1106" t="s">
        <v>91</v>
      </c>
      <c r="K1106" t="s">
        <v>78</v>
      </c>
      <c r="L1106" t="s">
        <v>265</v>
      </c>
      <c r="M1106" t="s">
        <v>266</v>
      </c>
      <c r="N1106" t="s">
        <v>587</v>
      </c>
      <c r="O1106" t="s">
        <v>82</v>
      </c>
      <c r="P1106" t="str">
        <f>"4170063720                    "</f>
        <v xml:space="preserve">4170063720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22.36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1.1000000000000001</v>
      </c>
      <c r="BK1106">
        <v>1.5</v>
      </c>
      <c r="BL1106">
        <v>70.959999999999994</v>
      </c>
      <c r="BM1106">
        <v>10.64</v>
      </c>
      <c r="BN1106">
        <v>81.599999999999994</v>
      </c>
      <c r="BO1106">
        <v>81.599999999999994</v>
      </c>
      <c r="BQ1106" t="s">
        <v>588</v>
      </c>
      <c r="BR1106" t="s">
        <v>97</v>
      </c>
      <c r="BS1106" s="3">
        <v>45940</v>
      </c>
      <c r="BT1106" s="4">
        <v>0.35486111111111113</v>
      </c>
      <c r="BU1106" t="s">
        <v>1879</v>
      </c>
      <c r="BV1106" t="s">
        <v>86</v>
      </c>
      <c r="BY1106">
        <v>5320</v>
      </c>
      <c r="CA1106" t="s">
        <v>818</v>
      </c>
      <c r="CC1106" t="s">
        <v>266</v>
      </c>
      <c r="CD1106">
        <v>6229</v>
      </c>
      <c r="CE1106" t="s">
        <v>191</v>
      </c>
      <c r="CF1106" s="3">
        <v>45940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"080068415478"</f>
        <v>080068415478</v>
      </c>
      <c r="F1107" s="3">
        <v>45939</v>
      </c>
      <c r="G1107">
        <v>202607</v>
      </c>
      <c r="H1107" t="s">
        <v>79</v>
      </c>
      <c r="I1107" t="s">
        <v>80</v>
      </c>
      <c r="J1107" t="s">
        <v>91</v>
      </c>
      <c r="K1107" t="s">
        <v>78</v>
      </c>
      <c r="L1107" t="s">
        <v>108</v>
      </c>
      <c r="M1107" t="s">
        <v>109</v>
      </c>
      <c r="N1107" t="s">
        <v>256</v>
      </c>
      <c r="O1107" t="s">
        <v>95</v>
      </c>
      <c r="P1107" t="str">
        <f>"4170063680                    "</f>
        <v xml:space="preserve">4170063680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59.29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24</v>
      </c>
      <c r="BJ1107">
        <v>12</v>
      </c>
      <c r="BK1107">
        <v>24</v>
      </c>
      <c r="BL1107">
        <v>194.06</v>
      </c>
      <c r="BM1107">
        <v>29.11</v>
      </c>
      <c r="BN1107">
        <v>223.17</v>
      </c>
      <c r="BO1107">
        <v>223.17</v>
      </c>
      <c r="BQ1107" t="s">
        <v>257</v>
      </c>
      <c r="BR1107" t="s">
        <v>97</v>
      </c>
      <c r="BS1107" s="3">
        <v>45943</v>
      </c>
      <c r="BT1107" s="4">
        <v>0.37291666666666667</v>
      </c>
      <c r="BU1107" t="s">
        <v>1880</v>
      </c>
      <c r="BV1107" t="s">
        <v>86</v>
      </c>
      <c r="BY1107">
        <v>60060</v>
      </c>
      <c r="CA1107" t="s">
        <v>142</v>
      </c>
      <c r="CC1107" t="s">
        <v>109</v>
      </c>
      <c r="CD1107">
        <v>6001</v>
      </c>
      <c r="CE1107" t="s">
        <v>1319</v>
      </c>
      <c r="CF1107" s="3">
        <v>45943</v>
      </c>
      <c r="CI1107">
        <v>3</v>
      </c>
      <c r="CJ1107">
        <v>2</v>
      </c>
      <c r="CK1107">
        <v>41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"080068415569"</f>
        <v>080068415569</v>
      </c>
      <c r="F1108" s="3">
        <v>45939</v>
      </c>
      <c r="G1108">
        <v>202607</v>
      </c>
      <c r="H1108" t="s">
        <v>79</v>
      </c>
      <c r="I1108" t="s">
        <v>80</v>
      </c>
      <c r="J1108" t="s">
        <v>91</v>
      </c>
      <c r="K1108" t="s">
        <v>78</v>
      </c>
      <c r="L1108" t="s">
        <v>168</v>
      </c>
      <c r="M1108" t="s">
        <v>169</v>
      </c>
      <c r="N1108" t="s">
        <v>1801</v>
      </c>
      <c r="O1108" t="s">
        <v>95</v>
      </c>
      <c r="P1108" t="str">
        <f>"4170063704                    "</f>
        <v xml:space="preserve">4170063704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43.23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4</v>
      </c>
      <c r="BJ1108">
        <v>1.8</v>
      </c>
      <c r="BK1108">
        <v>4</v>
      </c>
      <c r="BL1108">
        <v>143.08000000000001</v>
      </c>
      <c r="BM1108">
        <v>21.46</v>
      </c>
      <c r="BN1108">
        <v>164.54</v>
      </c>
      <c r="BO1108">
        <v>164.54</v>
      </c>
      <c r="BQ1108" t="s">
        <v>1802</v>
      </c>
      <c r="BR1108" t="s">
        <v>97</v>
      </c>
      <c r="BS1108" s="3">
        <v>45940</v>
      </c>
      <c r="BT1108" s="4">
        <v>0.34375</v>
      </c>
      <c r="BU1108" t="s">
        <v>1881</v>
      </c>
      <c r="BV1108" t="s">
        <v>86</v>
      </c>
      <c r="BY1108">
        <v>8816</v>
      </c>
      <c r="CC1108" t="s">
        <v>169</v>
      </c>
      <c r="CD1108" s="5" t="s">
        <v>839</v>
      </c>
      <c r="CE1108" t="s">
        <v>191</v>
      </c>
      <c r="CF1108" s="3">
        <v>45940</v>
      </c>
      <c r="CI1108">
        <v>1</v>
      </c>
      <c r="CJ1108">
        <v>1</v>
      </c>
      <c r="CK1108">
        <v>41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"080068415646"</f>
        <v>080068415646</v>
      </c>
      <c r="F1109" s="3">
        <v>45939</v>
      </c>
      <c r="G1109">
        <v>202607</v>
      </c>
      <c r="H1109" t="s">
        <v>79</v>
      </c>
      <c r="I1109" t="s">
        <v>80</v>
      </c>
      <c r="J1109" t="s">
        <v>91</v>
      </c>
      <c r="K1109" t="s">
        <v>78</v>
      </c>
      <c r="L1109" t="s">
        <v>265</v>
      </c>
      <c r="M1109" t="s">
        <v>266</v>
      </c>
      <c r="N1109" t="s">
        <v>587</v>
      </c>
      <c r="O1109" t="s">
        <v>82</v>
      </c>
      <c r="P1109" t="str">
        <f>"4170063699                    "</f>
        <v xml:space="preserve">4170063699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22.36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70.959999999999994</v>
      </c>
      <c r="BM1109">
        <v>10.64</v>
      </c>
      <c r="BN1109">
        <v>81.599999999999994</v>
      </c>
      <c r="BO1109">
        <v>81.599999999999994</v>
      </c>
      <c r="BQ1109" t="s">
        <v>588</v>
      </c>
      <c r="BR1109" t="s">
        <v>97</v>
      </c>
      <c r="BS1109" s="3">
        <v>45940</v>
      </c>
      <c r="BT1109" s="4">
        <v>0.35555555555555557</v>
      </c>
      <c r="BU1109" t="s">
        <v>1879</v>
      </c>
      <c r="BV1109" t="s">
        <v>86</v>
      </c>
      <c r="BY1109">
        <v>1200</v>
      </c>
      <c r="CA1109" t="s">
        <v>818</v>
      </c>
      <c r="CC1109" t="s">
        <v>266</v>
      </c>
      <c r="CD1109">
        <v>6229</v>
      </c>
      <c r="CE1109" t="s">
        <v>147</v>
      </c>
      <c r="CF1109" s="3">
        <v>45940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"080068415670"</f>
        <v>080068415670</v>
      </c>
      <c r="F1110" s="3">
        <v>45939</v>
      </c>
      <c r="G1110">
        <v>202607</v>
      </c>
      <c r="H1110" t="s">
        <v>79</v>
      </c>
      <c r="I1110" t="s">
        <v>80</v>
      </c>
      <c r="J1110" t="s">
        <v>91</v>
      </c>
      <c r="K1110" t="s">
        <v>78</v>
      </c>
      <c r="L1110" t="s">
        <v>206</v>
      </c>
      <c r="M1110" t="s">
        <v>207</v>
      </c>
      <c r="N1110" t="s">
        <v>656</v>
      </c>
      <c r="O1110" t="s">
        <v>82</v>
      </c>
      <c r="P1110" t="str">
        <f>"4170063744                    "</f>
        <v xml:space="preserve">4170063744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22.36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70.959999999999994</v>
      </c>
      <c r="BM1110">
        <v>10.64</v>
      </c>
      <c r="BN1110">
        <v>81.599999999999994</v>
      </c>
      <c r="BO1110">
        <v>81.599999999999994</v>
      </c>
      <c r="BQ1110" t="s">
        <v>657</v>
      </c>
      <c r="BR1110" t="s">
        <v>97</v>
      </c>
      <c r="BS1110" s="3">
        <v>45940</v>
      </c>
      <c r="BT1110" s="4">
        <v>0.3888888888888889</v>
      </c>
      <c r="BU1110" t="s">
        <v>658</v>
      </c>
      <c r="BV1110" t="s">
        <v>86</v>
      </c>
      <c r="BY1110">
        <v>1200</v>
      </c>
      <c r="CA1110" t="s">
        <v>211</v>
      </c>
      <c r="CC1110" t="s">
        <v>207</v>
      </c>
      <c r="CD1110">
        <v>7441</v>
      </c>
      <c r="CE1110" t="s">
        <v>147</v>
      </c>
      <c r="CF1110" s="3">
        <v>45943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"080068415698"</f>
        <v>080068415698</v>
      </c>
      <c r="F1111" s="3">
        <v>45939</v>
      </c>
      <c r="G1111">
        <v>202607</v>
      </c>
      <c r="H1111" t="s">
        <v>79</v>
      </c>
      <c r="I1111" t="s">
        <v>80</v>
      </c>
      <c r="J1111" t="s">
        <v>91</v>
      </c>
      <c r="K1111" t="s">
        <v>78</v>
      </c>
      <c r="L1111" t="s">
        <v>206</v>
      </c>
      <c r="M1111" t="s">
        <v>207</v>
      </c>
      <c r="N1111" t="s">
        <v>436</v>
      </c>
      <c r="O1111" t="s">
        <v>82</v>
      </c>
      <c r="P1111" t="str">
        <f>"4170063705                    "</f>
        <v xml:space="preserve">4170063705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22.36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70.959999999999994</v>
      </c>
      <c r="BM1111">
        <v>10.64</v>
      </c>
      <c r="BN1111">
        <v>81.599999999999994</v>
      </c>
      <c r="BO1111">
        <v>81.599999999999994</v>
      </c>
      <c r="BQ1111" t="s">
        <v>437</v>
      </c>
      <c r="BR1111" t="s">
        <v>97</v>
      </c>
      <c r="BS1111" s="3">
        <v>45940</v>
      </c>
      <c r="BT1111" s="4">
        <v>0.3923611111111111</v>
      </c>
      <c r="BU1111" t="s">
        <v>1882</v>
      </c>
      <c r="BV1111" t="s">
        <v>86</v>
      </c>
      <c r="BY1111">
        <v>1200</v>
      </c>
      <c r="CA1111" t="s">
        <v>1191</v>
      </c>
      <c r="CC1111" t="s">
        <v>207</v>
      </c>
      <c r="CD1111">
        <v>7800</v>
      </c>
      <c r="CE1111" t="s">
        <v>147</v>
      </c>
      <c r="CF1111" s="3">
        <v>45943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"080068415713"</f>
        <v>080068415713</v>
      </c>
      <c r="F1112" s="3">
        <v>45939</v>
      </c>
      <c r="G1112">
        <v>202607</v>
      </c>
      <c r="H1112" t="s">
        <v>79</v>
      </c>
      <c r="I1112" t="s">
        <v>80</v>
      </c>
      <c r="J1112" t="s">
        <v>91</v>
      </c>
      <c r="K1112" t="s">
        <v>78</v>
      </c>
      <c r="L1112" t="s">
        <v>121</v>
      </c>
      <c r="M1112" t="s">
        <v>122</v>
      </c>
      <c r="N1112" t="s">
        <v>1023</v>
      </c>
      <c r="O1112" t="s">
        <v>82</v>
      </c>
      <c r="P1112" t="str">
        <f>"4170063732                    "</f>
        <v xml:space="preserve">4170063732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22.36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2</v>
      </c>
      <c r="BJ1112">
        <v>1.8</v>
      </c>
      <c r="BK1112">
        <v>2</v>
      </c>
      <c r="BL1112">
        <v>70.959999999999994</v>
      </c>
      <c r="BM1112">
        <v>10.64</v>
      </c>
      <c r="BN1112">
        <v>81.599999999999994</v>
      </c>
      <c r="BO1112">
        <v>81.599999999999994</v>
      </c>
      <c r="BQ1112" t="s">
        <v>1024</v>
      </c>
      <c r="BR1112" t="s">
        <v>97</v>
      </c>
      <c r="BS1112" s="3">
        <v>45940</v>
      </c>
      <c r="BT1112" s="4">
        <v>0.4861111111111111</v>
      </c>
      <c r="BU1112" t="s">
        <v>1883</v>
      </c>
      <c r="BV1112" t="s">
        <v>90</v>
      </c>
      <c r="BW1112" t="s">
        <v>136</v>
      </c>
      <c r="BX1112" t="s">
        <v>858</v>
      </c>
      <c r="BY1112">
        <v>9212</v>
      </c>
      <c r="CA1112" t="s">
        <v>1406</v>
      </c>
      <c r="CC1112" t="s">
        <v>122</v>
      </c>
      <c r="CD1112">
        <v>4000</v>
      </c>
      <c r="CE1112" t="s">
        <v>191</v>
      </c>
      <c r="CF1112" s="3">
        <v>45940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"080068415720"</f>
        <v>080068415720</v>
      </c>
      <c r="F1113" s="3">
        <v>45939</v>
      </c>
      <c r="G1113">
        <v>202607</v>
      </c>
      <c r="H1113" t="s">
        <v>79</v>
      </c>
      <c r="I1113" t="s">
        <v>80</v>
      </c>
      <c r="J1113" t="s">
        <v>91</v>
      </c>
      <c r="K1113" t="s">
        <v>78</v>
      </c>
      <c r="L1113" t="s">
        <v>206</v>
      </c>
      <c r="M1113" t="s">
        <v>207</v>
      </c>
      <c r="N1113" t="s">
        <v>427</v>
      </c>
      <c r="O1113" t="s">
        <v>82</v>
      </c>
      <c r="P1113" t="str">
        <f>"4170063748                    "</f>
        <v xml:space="preserve">4170063748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22.36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70.959999999999994</v>
      </c>
      <c r="BM1113">
        <v>10.64</v>
      </c>
      <c r="BN1113">
        <v>81.599999999999994</v>
      </c>
      <c r="BO1113">
        <v>81.599999999999994</v>
      </c>
      <c r="BQ1113" t="s">
        <v>428</v>
      </c>
      <c r="BR1113" t="s">
        <v>97</v>
      </c>
      <c r="BS1113" s="3">
        <v>45940</v>
      </c>
      <c r="BT1113" s="4">
        <v>0.35555555555555557</v>
      </c>
      <c r="BU1113" t="s">
        <v>1832</v>
      </c>
      <c r="BV1113" t="s">
        <v>86</v>
      </c>
      <c r="BY1113">
        <v>1200</v>
      </c>
      <c r="CA1113" t="s">
        <v>423</v>
      </c>
      <c r="CC1113" t="s">
        <v>207</v>
      </c>
      <c r="CD1113">
        <v>7530</v>
      </c>
      <c r="CE1113" t="s">
        <v>147</v>
      </c>
      <c r="CF1113" s="3">
        <v>45943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"080068415736"</f>
        <v>080068415736</v>
      </c>
      <c r="F1114" s="3">
        <v>45939</v>
      </c>
      <c r="G1114">
        <v>202607</v>
      </c>
      <c r="H1114" t="s">
        <v>79</v>
      </c>
      <c r="I1114" t="s">
        <v>80</v>
      </c>
      <c r="J1114" t="s">
        <v>91</v>
      </c>
      <c r="K1114" t="s">
        <v>78</v>
      </c>
      <c r="L1114" t="s">
        <v>206</v>
      </c>
      <c r="M1114" t="s">
        <v>207</v>
      </c>
      <c r="N1114" t="s">
        <v>656</v>
      </c>
      <c r="O1114" t="s">
        <v>82</v>
      </c>
      <c r="P1114" t="str">
        <f>"4170063702                    "</f>
        <v xml:space="preserve">4170063702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22.36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70.959999999999994</v>
      </c>
      <c r="BM1114">
        <v>10.64</v>
      </c>
      <c r="BN1114">
        <v>81.599999999999994</v>
      </c>
      <c r="BO1114">
        <v>81.599999999999994</v>
      </c>
      <c r="BQ1114" t="s">
        <v>657</v>
      </c>
      <c r="BR1114" t="s">
        <v>97</v>
      </c>
      <c r="BS1114" s="3">
        <v>45940</v>
      </c>
      <c r="BT1114" s="4">
        <v>0.3888888888888889</v>
      </c>
      <c r="BU1114" t="s">
        <v>658</v>
      </c>
      <c r="BV1114" t="s">
        <v>86</v>
      </c>
      <c r="BY1114">
        <v>1200</v>
      </c>
      <c r="CA1114" t="s">
        <v>211</v>
      </c>
      <c r="CC1114" t="s">
        <v>207</v>
      </c>
      <c r="CD1114">
        <v>7441</v>
      </c>
      <c r="CE1114" t="s">
        <v>147</v>
      </c>
      <c r="CF1114" s="3">
        <v>45943</v>
      </c>
      <c r="CI1114">
        <v>1</v>
      </c>
      <c r="CJ1114">
        <v>1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"080068415752"</f>
        <v>080068415752</v>
      </c>
      <c r="F1115" s="3">
        <v>45939</v>
      </c>
      <c r="G1115">
        <v>202607</v>
      </c>
      <c r="H1115" t="s">
        <v>79</v>
      </c>
      <c r="I1115" t="s">
        <v>80</v>
      </c>
      <c r="J1115" t="s">
        <v>91</v>
      </c>
      <c r="K1115" t="s">
        <v>78</v>
      </c>
      <c r="L1115" t="s">
        <v>79</v>
      </c>
      <c r="M1115" t="s">
        <v>80</v>
      </c>
      <c r="N1115" t="s">
        <v>1884</v>
      </c>
      <c r="O1115" t="s">
        <v>82</v>
      </c>
      <c r="P1115" t="str">
        <f>"4170063751                    "</f>
        <v xml:space="preserve">4170063751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17.46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55.42</v>
      </c>
      <c r="BM1115">
        <v>8.31</v>
      </c>
      <c r="BN1115">
        <v>63.73</v>
      </c>
      <c r="BO1115">
        <v>63.73</v>
      </c>
      <c r="BQ1115" t="s">
        <v>1885</v>
      </c>
      <c r="BR1115" t="s">
        <v>97</v>
      </c>
      <c r="BS1115" s="3">
        <v>45940</v>
      </c>
      <c r="BT1115" s="4">
        <v>0.34027777777777779</v>
      </c>
      <c r="BU1115" t="s">
        <v>1886</v>
      </c>
      <c r="BV1115" t="s">
        <v>86</v>
      </c>
      <c r="BY1115">
        <v>1200</v>
      </c>
      <c r="CA1115" t="s">
        <v>280</v>
      </c>
      <c r="CC1115" t="s">
        <v>80</v>
      </c>
      <c r="CD1115">
        <v>1601</v>
      </c>
      <c r="CE1115" t="s">
        <v>147</v>
      </c>
      <c r="CF1115" s="3">
        <v>45941</v>
      </c>
      <c r="CI1115">
        <v>1</v>
      </c>
      <c r="CJ1115">
        <v>1</v>
      </c>
      <c r="CK1115">
        <v>22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"080068415964"</f>
        <v>080068415964</v>
      </c>
      <c r="F1116" s="3">
        <v>45939</v>
      </c>
      <c r="G1116">
        <v>202607</v>
      </c>
      <c r="H1116" t="s">
        <v>79</v>
      </c>
      <c r="I1116" t="s">
        <v>80</v>
      </c>
      <c r="J1116" t="s">
        <v>91</v>
      </c>
      <c r="K1116" t="s">
        <v>78</v>
      </c>
      <c r="L1116" t="s">
        <v>79</v>
      </c>
      <c r="M1116" t="s">
        <v>80</v>
      </c>
      <c r="N1116" t="s">
        <v>577</v>
      </c>
      <c r="O1116" t="s">
        <v>82</v>
      </c>
      <c r="P1116" t="str">
        <f>"4170063743                    "</f>
        <v xml:space="preserve">4170063743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17.46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1.9</v>
      </c>
      <c r="BK1116">
        <v>2</v>
      </c>
      <c r="BL1116">
        <v>55.42</v>
      </c>
      <c r="BM1116">
        <v>8.31</v>
      </c>
      <c r="BN1116">
        <v>63.73</v>
      </c>
      <c r="BO1116">
        <v>63.73</v>
      </c>
      <c r="BQ1116" t="s">
        <v>578</v>
      </c>
      <c r="BR1116" t="s">
        <v>97</v>
      </c>
      <c r="BS1116" s="3">
        <v>45940</v>
      </c>
      <c r="BT1116" s="4">
        <v>0.4</v>
      </c>
      <c r="BU1116" t="s">
        <v>579</v>
      </c>
      <c r="BV1116" t="s">
        <v>86</v>
      </c>
      <c r="BY1116">
        <v>9600</v>
      </c>
      <c r="CA1116" t="s">
        <v>580</v>
      </c>
      <c r="CC1116" t="s">
        <v>80</v>
      </c>
      <c r="CD1116">
        <v>1619</v>
      </c>
      <c r="CE1116" t="s">
        <v>191</v>
      </c>
      <c r="CF1116" s="3">
        <v>45941</v>
      </c>
      <c r="CI1116">
        <v>1</v>
      </c>
      <c r="CJ1116">
        <v>1</v>
      </c>
      <c r="CK1116">
        <v>22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"080068415971"</f>
        <v>080068415971</v>
      </c>
      <c r="F1117" s="3">
        <v>45939</v>
      </c>
      <c r="G1117">
        <v>202607</v>
      </c>
      <c r="H1117" t="s">
        <v>79</v>
      </c>
      <c r="I1117" t="s">
        <v>80</v>
      </c>
      <c r="J1117" t="s">
        <v>91</v>
      </c>
      <c r="K1117" t="s">
        <v>78</v>
      </c>
      <c r="L1117" t="s">
        <v>206</v>
      </c>
      <c r="M1117" t="s">
        <v>207</v>
      </c>
      <c r="N1117" t="s">
        <v>1170</v>
      </c>
      <c r="O1117" t="s">
        <v>82</v>
      </c>
      <c r="P1117" t="str">
        <f>"4170063698                    "</f>
        <v xml:space="preserve">4170063698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22.36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70.959999999999994</v>
      </c>
      <c r="BM1117">
        <v>10.64</v>
      </c>
      <c r="BN1117">
        <v>81.599999999999994</v>
      </c>
      <c r="BO1117">
        <v>81.599999999999994</v>
      </c>
      <c r="BQ1117" t="s">
        <v>1171</v>
      </c>
      <c r="BR1117" t="s">
        <v>97</v>
      </c>
      <c r="BS1117" s="3">
        <v>45940</v>
      </c>
      <c r="BT1117" s="4">
        <v>0.57361111111111107</v>
      </c>
      <c r="BU1117" t="s">
        <v>1887</v>
      </c>
      <c r="BV1117" t="s">
        <v>86</v>
      </c>
      <c r="BY1117">
        <v>1200</v>
      </c>
      <c r="CA1117" t="s">
        <v>1888</v>
      </c>
      <c r="CC1117" t="s">
        <v>207</v>
      </c>
      <c r="CD1117">
        <v>7764</v>
      </c>
      <c r="CE1117" t="s">
        <v>147</v>
      </c>
      <c r="CF1117" s="3">
        <v>45943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"080068416018"</f>
        <v>080068416018</v>
      </c>
      <c r="F1118" s="3">
        <v>45939</v>
      </c>
      <c r="G1118">
        <v>202607</v>
      </c>
      <c r="H1118" t="s">
        <v>79</v>
      </c>
      <c r="I1118" t="s">
        <v>80</v>
      </c>
      <c r="J1118" t="s">
        <v>91</v>
      </c>
      <c r="K1118" t="s">
        <v>78</v>
      </c>
      <c r="L1118" t="s">
        <v>108</v>
      </c>
      <c r="M1118" t="s">
        <v>109</v>
      </c>
      <c r="N1118" t="s">
        <v>997</v>
      </c>
      <c r="O1118" t="s">
        <v>82</v>
      </c>
      <c r="P1118" t="str">
        <f>"4170063685                    "</f>
        <v xml:space="preserve">4170063685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22.36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70.959999999999994</v>
      </c>
      <c r="BM1118">
        <v>10.64</v>
      </c>
      <c r="BN1118">
        <v>81.599999999999994</v>
      </c>
      <c r="BO1118">
        <v>81.599999999999994</v>
      </c>
      <c r="BQ1118" t="s">
        <v>998</v>
      </c>
      <c r="BR1118" t="s">
        <v>97</v>
      </c>
      <c r="BS1118" s="3">
        <v>45940</v>
      </c>
      <c r="BT1118" s="4">
        <v>0.38124999999999998</v>
      </c>
      <c r="BU1118" t="s">
        <v>1889</v>
      </c>
      <c r="BV1118" t="s">
        <v>86</v>
      </c>
      <c r="BY1118">
        <v>1200</v>
      </c>
      <c r="CA1118" t="s">
        <v>1000</v>
      </c>
      <c r="CC1118" t="s">
        <v>109</v>
      </c>
      <c r="CD1118">
        <v>6001</v>
      </c>
      <c r="CE1118" t="s">
        <v>147</v>
      </c>
      <c r="CF1118" s="3">
        <v>45940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"080068416021"</f>
        <v>080068416021</v>
      </c>
      <c r="F1119" s="3">
        <v>45939</v>
      </c>
      <c r="G1119">
        <v>202607</v>
      </c>
      <c r="H1119" t="s">
        <v>79</v>
      </c>
      <c r="I1119" t="s">
        <v>80</v>
      </c>
      <c r="J1119" t="s">
        <v>91</v>
      </c>
      <c r="K1119" t="s">
        <v>78</v>
      </c>
      <c r="L1119" t="s">
        <v>92</v>
      </c>
      <c r="M1119" t="s">
        <v>93</v>
      </c>
      <c r="N1119" t="s">
        <v>552</v>
      </c>
      <c r="O1119" t="s">
        <v>82</v>
      </c>
      <c r="P1119" t="str">
        <f>"4170063682                    "</f>
        <v xml:space="preserve">4170063682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22.36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1.4</v>
      </c>
      <c r="BK1119">
        <v>1.5</v>
      </c>
      <c r="BL1119">
        <v>70.959999999999994</v>
      </c>
      <c r="BM1119">
        <v>10.64</v>
      </c>
      <c r="BN1119">
        <v>81.599999999999994</v>
      </c>
      <c r="BO1119">
        <v>81.599999999999994</v>
      </c>
      <c r="BQ1119" t="s">
        <v>553</v>
      </c>
      <c r="BR1119" t="s">
        <v>97</v>
      </c>
      <c r="BS1119" s="3">
        <v>45940</v>
      </c>
      <c r="BT1119" s="4">
        <v>0.44305555555555554</v>
      </c>
      <c r="BU1119" t="s">
        <v>1140</v>
      </c>
      <c r="BV1119" t="s">
        <v>86</v>
      </c>
      <c r="BY1119">
        <v>7000</v>
      </c>
      <c r="CA1119" t="s">
        <v>1141</v>
      </c>
      <c r="CC1119" t="s">
        <v>93</v>
      </c>
      <c r="CD1119">
        <v>3201</v>
      </c>
      <c r="CE1119" t="s">
        <v>191</v>
      </c>
      <c r="CF1119" s="3">
        <v>45941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"080068416048"</f>
        <v>080068416048</v>
      </c>
      <c r="F1120" s="3">
        <v>45939</v>
      </c>
      <c r="G1120">
        <v>202607</v>
      </c>
      <c r="H1120" t="s">
        <v>79</v>
      </c>
      <c r="I1120" t="s">
        <v>80</v>
      </c>
      <c r="J1120" t="s">
        <v>91</v>
      </c>
      <c r="K1120" t="s">
        <v>78</v>
      </c>
      <c r="L1120" t="s">
        <v>206</v>
      </c>
      <c r="M1120" t="s">
        <v>207</v>
      </c>
      <c r="N1120" t="s">
        <v>477</v>
      </c>
      <c r="O1120" t="s">
        <v>82</v>
      </c>
      <c r="P1120" t="str">
        <f>"4170063687                    "</f>
        <v xml:space="preserve">4170063687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22.36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70.959999999999994</v>
      </c>
      <c r="BM1120">
        <v>10.64</v>
      </c>
      <c r="BN1120">
        <v>81.599999999999994</v>
      </c>
      <c r="BO1120">
        <v>81.599999999999994</v>
      </c>
      <c r="BQ1120" t="s">
        <v>478</v>
      </c>
      <c r="BR1120" t="s">
        <v>97</v>
      </c>
      <c r="BS1120" s="3">
        <v>45940</v>
      </c>
      <c r="BT1120" s="4">
        <v>0.37638888888888888</v>
      </c>
      <c r="BU1120" t="s">
        <v>1890</v>
      </c>
      <c r="BV1120" t="s">
        <v>86</v>
      </c>
      <c r="BY1120">
        <v>1200</v>
      </c>
      <c r="CA1120" t="s">
        <v>1891</v>
      </c>
      <c r="CC1120" t="s">
        <v>207</v>
      </c>
      <c r="CD1120">
        <v>7480</v>
      </c>
      <c r="CE1120" t="s">
        <v>147</v>
      </c>
      <c r="CF1120" s="3">
        <v>45943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"080068416068"</f>
        <v>080068416068</v>
      </c>
      <c r="F1121" s="3">
        <v>45939</v>
      </c>
      <c r="G1121">
        <v>202607</v>
      </c>
      <c r="H1121" t="s">
        <v>79</v>
      </c>
      <c r="I1121" t="s">
        <v>80</v>
      </c>
      <c r="J1121" t="s">
        <v>91</v>
      </c>
      <c r="K1121" t="s">
        <v>78</v>
      </c>
      <c r="L1121" t="s">
        <v>108</v>
      </c>
      <c r="M1121" t="s">
        <v>109</v>
      </c>
      <c r="N1121" t="s">
        <v>751</v>
      </c>
      <c r="O1121" t="s">
        <v>82</v>
      </c>
      <c r="P1121" t="str">
        <f>"4170063735                    "</f>
        <v xml:space="preserve">4170063735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22.36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70.959999999999994</v>
      </c>
      <c r="BM1121">
        <v>10.64</v>
      </c>
      <c r="BN1121">
        <v>81.599999999999994</v>
      </c>
      <c r="BO1121">
        <v>81.599999999999994</v>
      </c>
      <c r="BQ1121" t="s">
        <v>752</v>
      </c>
      <c r="BR1121" t="s">
        <v>97</v>
      </c>
      <c r="BS1121" s="3">
        <v>45940</v>
      </c>
      <c r="BT1121" s="4">
        <v>0.36249999999999999</v>
      </c>
      <c r="BU1121" t="s">
        <v>1892</v>
      </c>
      <c r="BV1121" t="s">
        <v>86</v>
      </c>
      <c r="BY1121">
        <v>1200</v>
      </c>
      <c r="CA1121" t="s">
        <v>551</v>
      </c>
      <c r="CC1121" t="s">
        <v>109</v>
      </c>
      <c r="CD1121">
        <v>6001</v>
      </c>
      <c r="CE1121" t="s">
        <v>147</v>
      </c>
      <c r="CF1121" s="3">
        <v>45940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"080068416476"</f>
        <v>080068416476</v>
      </c>
      <c r="F1122" s="3">
        <v>45939</v>
      </c>
      <c r="G1122">
        <v>202607</v>
      </c>
      <c r="H1122" t="s">
        <v>79</v>
      </c>
      <c r="I1122" t="s">
        <v>80</v>
      </c>
      <c r="J1122" t="s">
        <v>91</v>
      </c>
      <c r="K1122" t="s">
        <v>78</v>
      </c>
      <c r="L1122" t="s">
        <v>148</v>
      </c>
      <c r="M1122" t="s">
        <v>149</v>
      </c>
      <c r="N1122" t="s">
        <v>497</v>
      </c>
      <c r="O1122" t="s">
        <v>82</v>
      </c>
      <c r="P1122" t="str">
        <f>"4170063691                    "</f>
        <v xml:space="preserve">4170063691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17.46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16.739999999999998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72.16</v>
      </c>
      <c r="BM1122">
        <v>10.82</v>
      </c>
      <c r="BN1122">
        <v>82.98</v>
      </c>
      <c r="BO1122">
        <v>82.98</v>
      </c>
      <c r="BQ1122" t="s">
        <v>498</v>
      </c>
      <c r="BR1122" t="s">
        <v>97</v>
      </c>
      <c r="BS1122" s="3">
        <v>45940</v>
      </c>
      <c r="BT1122" s="4">
        <v>0.39583333333333331</v>
      </c>
      <c r="BU1122" t="s">
        <v>317</v>
      </c>
      <c r="BV1122" t="s">
        <v>86</v>
      </c>
      <c r="BY1122">
        <v>1200</v>
      </c>
      <c r="BZ1122" t="s">
        <v>30</v>
      </c>
      <c r="CA1122" t="s">
        <v>501</v>
      </c>
      <c r="CC1122" t="s">
        <v>149</v>
      </c>
      <c r="CD1122">
        <v>2188</v>
      </c>
      <c r="CE1122" t="s">
        <v>147</v>
      </c>
      <c r="CF1122" s="3">
        <v>45941</v>
      </c>
      <c r="CI1122">
        <v>1</v>
      </c>
      <c r="CJ1122">
        <v>1</v>
      </c>
      <c r="CK1122">
        <v>22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"080068416492"</f>
        <v>080068416492</v>
      </c>
      <c r="F1123" s="3">
        <v>45939</v>
      </c>
      <c r="G1123">
        <v>202607</v>
      </c>
      <c r="H1123" t="s">
        <v>79</v>
      </c>
      <c r="I1123" t="s">
        <v>80</v>
      </c>
      <c r="J1123" t="s">
        <v>91</v>
      </c>
      <c r="K1123" t="s">
        <v>78</v>
      </c>
      <c r="L1123" t="s">
        <v>148</v>
      </c>
      <c r="M1123" t="s">
        <v>149</v>
      </c>
      <c r="N1123" t="s">
        <v>465</v>
      </c>
      <c r="O1123" t="s">
        <v>82</v>
      </c>
      <c r="P1123" t="str">
        <f>"4170063713                    "</f>
        <v xml:space="preserve">4170063713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17.46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55.42</v>
      </c>
      <c r="BM1123">
        <v>8.31</v>
      </c>
      <c r="BN1123">
        <v>63.73</v>
      </c>
      <c r="BO1123">
        <v>63.73</v>
      </c>
      <c r="BQ1123" t="s">
        <v>466</v>
      </c>
      <c r="BR1123" t="s">
        <v>97</v>
      </c>
      <c r="BS1123" s="3">
        <v>45940</v>
      </c>
      <c r="BT1123" s="4">
        <v>0.40277777777777779</v>
      </c>
      <c r="BU1123" t="s">
        <v>1658</v>
      </c>
      <c r="BV1123" t="s">
        <v>86</v>
      </c>
      <c r="BY1123">
        <v>1200</v>
      </c>
      <c r="CA1123" t="s">
        <v>519</v>
      </c>
      <c r="CC1123" t="s">
        <v>149</v>
      </c>
      <c r="CD1123">
        <v>2094</v>
      </c>
      <c r="CE1123" t="s">
        <v>147</v>
      </c>
      <c r="CF1123" s="3">
        <v>45940</v>
      </c>
      <c r="CI1123">
        <v>1</v>
      </c>
      <c r="CJ1123">
        <v>1</v>
      </c>
      <c r="CK1123">
        <v>22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"080068416538"</f>
        <v>080068416538</v>
      </c>
      <c r="F1124" s="3">
        <v>45939</v>
      </c>
      <c r="G1124">
        <v>202607</v>
      </c>
      <c r="H1124" t="s">
        <v>79</v>
      </c>
      <c r="I1124" t="s">
        <v>80</v>
      </c>
      <c r="J1124" t="s">
        <v>91</v>
      </c>
      <c r="K1124" t="s">
        <v>78</v>
      </c>
      <c r="L1124" t="s">
        <v>300</v>
      </c>
      <c r="M1124" t="s">
        <v>301</v>
      </c>
      <c r="N1124" t="s">
        <v>1893</v>
      </c>
      <c r="O1124" t="s">
        <v>82</v>
      </c>
      <c r="P1124" t="str">
        <f>"4170063724                    "</f>
        <v xml:space="preserve">4170063724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31.44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99.79</v>
      </c>
      <c r="BM1124">
        <v>14.97</v>
      </c>
      <c r="BN1124">
        <v>114.76</v>
      </c>
      <c r="BO1124">
        <v>114.76</v>
      </c>
      <c r="BQ1124" t="s">
        <v>1894</v>
      </c>
      <c r="BR1124" t="s">
        <v>97</v>
      </c>
      <c r="BS1124" s="3">
        <v>45940</v>
      </c>
      <c r="BT1124" s="4">
        <v>0.63472222222222219</v>
      </c>
      <c r="BU1124" t="s">
        <v>1895</v>
      </c>
      <c r="BV1124" t="s">
        <v>90</v>
      </c>
      <c r="BW1124" t="s">
        <v>188</v>
      </c>
      <c r="BX1124" t="s">
        <v>1896</v>
      </c>
      <c r="BY1124">
        <v>1200</v>
      </c>
      <c r="CA1124" t="s">
        <v>305</v>
      </c>
      <c r="CC1124" t="s">
        <v>301</v>
      </c>
      <c r="CD1124">
        <v>1739</v>
      </c>
      <c r="CE1124" t="s">
        <v>147</v>
      </c>
      <c r="CF1124" s="3">
        <v>45941</v>
      </c>
      <c r="CI1124">
        <v>1</v>
      </c>
      <c r="CJ1124">
        <v>1</v>
      </c>
      <c r="CK1124">
        <v>24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"080068416566"</f>
        <v>080068416566</v>
      </c>
      <c r="F1125" s="3">
        <v>45939</v>
      </c>
      <c r="G1125">
        <v>202607</v>
      </c>
      <c r="H1125" t="s">
        <v>79</v>
      </c>
      <c r="I1125" t="s">
        <v>80</v>
      </c>
      <c r="J1125" t="s">
        <v>91</v>
      </c>
      <c r="K1125" t="s">
        <v>78</v>
      </c>
      <c r="L1125" t="s">
        <v>148</v>
      </c>
      <c r="M1125" t="s">
        <v>149</v>
      </c>
      <c r="N1125" t="s">
        <v>465</v>
      </c>
      <c r="O1125" t="s">
        <v>82</v>
      </c>
      <c r="P1125" t="str">
        <f>"4170063712                    "</f>
        <v xml:space="preserve">4170063712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17.46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55.42</v>
      </c>
      <c r="BM1125">
        <v>8.31</v>
      </c>
      <c r="BN1125">
        <v>63.73</v>
      </c>
      <c r="BO1125">
        <v>63.73</v>
      </c>
      <c r="BQ1125" t="s">
        <v>466</v>
      </c>
      <c r="BR1125" t="s">
        <v>97</v>
      </c>
      <c r="BS1125" s="3">
        <v>45940</v>
      </c>
      <c r="BT1125" s="4">
        <v>0.40277777777777779</v>
      </c>
      <c r="BU1125" t="s">
        <v>1536</v>
      </c>
      <c r="BV1125" t="s">
        <v>86</v>
      </c>
      <c r="BY1125">
        <v>1200</v>
      </c>
      <c r="CA1125" t="s">
        <v>519</v>
      </c>
      <c r="CC1125" t="s">
        <v>149</v>
      </c>
      <c r="CD1125">
        <v>2094</v>
      </c>
      <c r="CE1125" t="s">
        <v>147</v>
      </c>
      <c r="CF1125" s="3">
        <v>45940</v>
      </c>
      <c r="CI1125">
        <v>1</v>
      </c>
      <c r="CJ1125">
        <v>1</v>
      </c>
      <c r="CK1125">
        <v>22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"080068416569"</f>
        <v>080068416569</v>
      </c>
      <c r="F1126" s="3">
        <v>45939</v>
      </c>
      <c r="G1126">
        <v>202607</v>
      </c>
      <c r="H1126" t="s">
        <v>79</v>
      </c>
      <c r="I1126" t="s">
        <v>80</v>
      </c>
      <c r="J1126" t="s">
        <v>91</v>
      </c>
      <c r="K1126" t="s">
        <v>78</v>
      </c>
      <c r="L1126" t="s">
        <v>206</v>
      </c>
      <c r="M1126" t="s">
        <v>207</v>
      </c>
      <c r="N1126" t="s">
        <v>208</v>
      </c>
      <c r="O1126" t="s">
        <v>82</v>
      </c>
      <c r="P1126" t="str">
        <f>"4170063703                    "</f>
        <v xml:space="preserve">4170063703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100.54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5</v>
      </c>
      <c r="BJ1126">
        <v>8.9</v>
      </c>
      <c r="BK1126">
        <v>9</v>
      </c>
      <c r="BL1126">
        <v>319.10000000000002</v>
      </c>
      <c r="BM1126">
        <v>47.87</v>
      </c>
      <c r="BN1126">
        <v>366.97</v>
      </c>
      <c r="BO1126">
        <v>366.97</v>
      </c>
      <c r="BQ1126" t="s">
        <v>209</v>
      </c>
      <c r="BR1126" t="s">
        <v>97</v>
      </c>
      <c r="BS1126" s="3">
        <v>45940</v>
      </c>
      <c r="BT1126" s="4">
        <v>0.38055555555555554</v>
      </c>
      <c r="BU1126" t="s">
        <v>1732</v>
      </c>
      <c r="BV1126" t="s">
        <v>86</v>
      </c>
      <c r="BY1126">
        <v>44640</v>
      </c>
      <c r="CA1126" t="s">
        <v>211</v>
      </c>
      <c r="CC1126" t="s">
        <v>207</v>
      </c>
      <c r="CD1126">
        <v>7441</v>
      </c>
      <c r="CE1126" t="s">
        <v>191</v>
      </c>
      <c r="CF1126" s="3">
        <v>45943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"080068416581"</f>
        <v>080068416581</v>
      </c>
      <c r="F1127" s="3">
        <v>45939</v>
      </c>
      <c r="G1127">
        <v>202607</v>
      </c>
      <c r="H1127" t="s">
        <v>79</v>
      </c>
      <c r="I1127" t="s">
        <v>80</v>
      </c>
      <c r="J1127" t="s">
        <v>91</v>
      </c>
      <c r="K1127" t="s">
        <v>78</v>
      </c>
      <c r="L1127" t="s">
        <v>453</v>
      </c>
      <c r="M1127" t="s">
        <v>454</v>
      </c>
      <c r="N1127" t="s">
        <v>1223</v>
      </c>
      <c r="O1127" t="s">
        <v>82</v>
      </c>
      <c r="P1127" t="str">
        <f>"4170063714                    "</f>
        <v xml:space="preserve">4170063714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22.36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70.959999999999994</v>
      </c>
      <c r="BM1127">
        <v>10.64</v>
      </c>
      <c r="BN1127">
        <v>81.599999999999994</v>
      </c>
      <c r="BO1127">
        <v>81.599999999999994</v>
      </c>
      <c r="BQ1127" t="s">
        <v>1224</v>
      </c>
      <c r="BR1127" t="s">
        <v>97</v>
      </c>
      <c r="BS1127" s="3">
        <v>45940</v>
      </c>
      <c r="BT1127" s="4">
        <v>0.50555555555555554</v>
      </c>
      <c r="BU1127" t="s">
        <v>1897</v>
      </c>
      <c r="BV1127" t="s">
        <v>86</v>
      </c>
      <c r="BY1127">
        <v>1200</v>
      </c>
      <c r="CA1127" t="s">
        <v>742</v>
      </c>
      <c r="CC1127" t="s">
        <v>454</v>
      </c>
      <c r="CD1127">
        <v>3610</v>
      </c>
      <c r="CE1127" t="s">
        <v>147</v>
      </c>
      <c r="CF1127" s="3">
        <v>45941</v>
      </c>
      <c r="CI1127">
        <v>1</v>
      </c>
      <c r="CJ1127">
        <v>1</v>
      </c>
      <c r="CK1127">
        <v>21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"080068416602"</f>
        <v>080068416602</v>
      </c>
      <c r="F1128" s="3">
        <v>45939</v>
      </c>
      <c r="G1128">
        <v>202607</v>
      </c>
      <c r="H1128" t="s">
        <v>79</v>
      </c>
      <c r="I1128" t="s">
        <v>80</v>
      </c>
      <c r="J1128" t="s">
        <v>91</v>
      </c>
      <c r="K1128" t="s">
        <v>78</v>
      </c>
      <c r="L1128" t="s">
        <v>121</v>
      </c>
      <c r="M1128" t="s">
        <v>122</v>
      </c>
      <c r="N1128" t="s">
        <v>154</v>
      </c>
      <c r="O1128" t="s">
        <v>82</v>
      </c>
      <c r="P1128" t="str">
        <f>"4170063708                    "</f>
        <v xml:space="preserve">4170063708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22.36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70.959999999999994</v>
      </c>
      <c r="BM1128">
        <v>10.64</v>
      </c>
      <c r="BN1128">
        <v>81.599999999999994</v>
      </c>
      <c r="BO1128">
        <v>81.599999999999994</v>
      </c>
      <c r="BQ1128" t="s">
        <v>155</v>
      </c>
      <c r="BR1128" t="s">
        <v>97</v>
      </c>
      <c r="BS1128" s="3">
        <v>45940</v>
      </c>
      <c r="BT1128" s="4">
        <v>0.56944444444444442</v>
      </c>
      <c r="BU1128" t="s">
        <v>1548</v>
      </c>
      <c r="BV1128" t="s">
        <v>90</v>
      </c>
      <c r="BW1128" t="s">
        <v>136</v>
      </c>
      <c r="BX1128" t="s">
        <v>787</v>
      </c>
      <c r="BY1128">
        <v>1200</v>
      </c>
      <c r="CC1128" t="s">
        <v>122</v>
      </c>
      <c r="CD1128">
        <v>4052</v>
      </c>
      <c r="CE1128" t="s">
        <v>147</v>
      </c>
      <c r="CF1128" s="3">
        <v>45941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"080068416644"</f>
        <v>080068416644</v>
      </c>
      <c r="F1129" s="3">
        <v>45939</v>
      </c>
      <c r="G1129">
        <v>202607</v>
      </c>
      <c r="H1129" t="s">
        <v>79</v>
      </c>
      <c r="I1129" t="s">
        <v>80</v>
      </c>
      <c r="J1129" t="s">
        <v>91</v>
      </c>
      <c r="K1129" t="s">
        <v>78</v>
      </c>
      <c r="L1129" t="s">
        <v>121</v>
      </c>
      <c r="M1129" t="s">
        <v>122</v>
      </c>
      <c r="N1129" t="s">
        <v>123</v>
      </c>
      <c r="O1129" t="s">
        <v>82</v>
      </c>
      <c r="P1129" t="str">
        <f>"4170063700                    "</f>
        <v xml:space="preserve">4170063700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22.36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2</v>
      </c>
      <c r="BJ1129">
        <v>1</v>
      </c>
      <c r="BK1129">
        <v>2</v>
      </c>
      <c r="BL1129">
        <v>70.959999999999994</v>
      </c>
      <c r="BM1129">
        <v>10.64</v>
      </c>
      <c r="BN1129">
        <v>81.599999999999994</v>
      </c>
      <c r="BO1129">
        <v>81.599999999999994</v>
      </c>
      <c r="BQ1129" t="s">
        <v>124</v>
      </c>
      <c r="BR1129" t="s">
        <v>97</v>
      </c>
      <c r="BS1129" s="3">
        <v>45940</v>
      </c>
      <c r="BT1129" s="4">
        <v>0.35694444444444445</v>
      </c>
      <c r="BU1129" t="s">
        <v>201</v>
      </c>
      <c r="BV1129" t="s">
        <v>86</v>
      </c>
      <c r="BY1129">
        <v>5220</v>
      </c>
      <c r="CA1129" t="s">
        <v>126</v>
      </c>
      <c r="CC1129" t="s">
        <v>122</v>
      </c>
      <c r="CD1129">
        <v>4000</v>
      </c>
      <c r="CE1129" t="s">
        <v>107</v>
      </c>
      <c r="CF1129" s="3">
        <v>45940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"080068416690"</f>
        <v>080068416690</v>
      </c>
      <c r="F1130" s="3">
        <v>45939</v>
      </c>
      <c r="G1130">
        <v>202607</v>
      </c>
      <c r="H1130" t="s">
        <v>79</v>
      </c>
      <c r="I1130" t="s">
        <v>80</v>
      </c>
      <c r="J1130" t="s">
        <v>91</v>
      </c>
      <c r="K1130" t="s">
        <v>78</v>
      </c>
      <c r="L1130" t="s">
        <v>108</v>
      </c>
      <c r="M1130" t="s">
        <v>109</v>
      </c>
      <c r="N1130" t="s">
        <v>365</v>
      </c>
      <c r="O1130" t="s">
        <v>82</v>
      </c>
      <c r="P1130" t="str">
        <f>"4170063717                    "</f>
        <v xml:space="preserve">4170063717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33.520000000000003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3</v>
      </c>
      <c r="BJ1130">
        <v>1.9</v>
      </c>
      <c r="BK1130">
        <v>3</v>
      </c>
      <c r="BL1130">
        <v>106.4</v>
      </c>
      <c r="BM1130">
        <v>15.96</v>
      </c>
      <c r="BN1130">
        <v>122.36</v>
      </c>
      <c r="BO1130">
        <v>122.36</v>
      </c>
      <c r="BQ1130" t="s">
        <v>366</v>
      </c>
      <c r="BR1130" t="s">
        <v>97</v>
      </c>
      <c r="BS1130" s="3">
        <v>45940</v>
      </c>
      <c r="BT1130" s="4">
        <v>0.42152777777777778</v>
      </c>
      <c r="BU1130" t="s">
        <v>1898</v>
      </c>
      <c r="BV1130" t="s">
        <v>86</v>
      </c>
      <c r="BY1130">
        <v>9576</v>
      </c>
      <c r="CA1130" t="s">
        <v>1145</v>
      </c>
      <c r="CC1130" t="s">
        <v>109</v>
      </c>
      <c r="CD1130">
        <v>6056</v>
      </c>
      <c r="CE1130" t="s">
        <v>191</v>
      </c>
      <c r="CF1130" s="3">
        <v>45940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"080068416848"</f>
        <v>080068416848</v>
      </c>
      <c r="F1131" s="3">
        <v>45939</v>
      </c>
      <c r="G1131">
        <v>202607</v>
      </c>
      <c r="H1131" t="s">
        <v>79</v>
      </c>
      <c r="I1131" t="s">
        <v>80</v>
      </c>
      <c r="J1131" t="s">
        <v>91</v>
      </c>
      <c r="K1131" t="s">
        <v>78</v>
      </c>
      <c r="L1131" t="s">
        <v>121</v>
      </c>
      <c r="M1131" t="s">
        <v>122</v>
      </c>
      <c r="N1131" t="s">
        <v>159</v>
      </c>
      <c r="O1131" t="s">
        <v>82</v>
      </c>
      <c r="P1131" t="str">
        <f>"4170063676                    "</f>
        <v xml:space="preserve">4170063676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67.03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6</v>
      </c>
      <c r="BJ1131">
        <v>1.9</v>
      </c>
      <c r="BK1131">
        <v>6</v>
      </c>
      <c r="BL1131">
        <v>212.75</v>
      </c>
      <c r="BM1131">
        <v>31.91</v>
      </c>
      <c r="BN1131">
        <v>244.66</v>
      </c>
      <c r="BO1131">
        <v>244.66</v>
      </c>
      <c r="BQ1131" t="s">
        <v>160</v>
      </c>
      <c r="BR1131" t="s">
        <v>97</v>
      </c>
      <c r="BS1131" s="3">
        <v>45940</v>
      </c>
      <c r="BT1131" s="4">
        <v>0.46944444444444444</v>
      </c>
      <c r="BU1131" t="s">
        <v>1899</v>
      </c>
      <c r="BV1131" t="s">
        <v>90</v>
      </c>
      <c r="BW1131" t="s">
        <v>136</v>
      </c>
      <c r="BX1131" t="s">
        <v>787</v>
      </c>
      <c r="BY1131">
        <v>9600</v>
      </c>
      <c r="CA1131" t="s">
        <v>742</v>
      </c>
      <c r="CC1131" t="s">
        <v>122</v>
      </c>
      <c r="CD1131">
        <v>4000</v>
      </c>
      <c r="CE1131" t="s">
        <v>191</v>
      </c>
      <c r="CF1131" s="3">
        <v>45941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"080068416894"</f>
        <v>080068416894</v>
      </c>
      <c r="F1132" s="3">
        <v>45939</v>
      </c>
      <c r="G1132">
        <v>202607</v>
      </c>
      <c r="H1132" t="s">
        <v>79</v>
      </c>
      <c r="I1132" t="s">
        <v>80</v>
      </c>
      <c r="J1132" t="s">
        <v>91</v>
      </c>
      <c r="K1132" t="s">
        <v>78</v>
      </c>
      <c r="L1132" t="s">
        <v>206</v>
      </c>
      <c r="M1132" t="s">
        <v>207</v>
      </c>
      <c r="N1132" t="s">
        <v>656</v>
      </c>
      <c r="O1132" t="s">
        <v>82</v>
      </c>
      <c r="P1132" t="str">
        <f>"4170063742                    "</f>
        <v xml:space="preserve">4170063742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33.520000000000003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3</v>
      </c>
      <c r="BJ1132">
        <v>0.9</v>
      </c>
      <c r="BK1132">
        <v>3</v>
      </c>
      <c r="BL1132">
        <v>106.4</v>
      </c>
      <c r="BM1132">
        <v>15.96</v>
      </c>
      <c r="BN1132">
        <v>122.36</v>
      </c>
      <c r="BO1132">
        <v>122.36</v>
      </c>
      <c r="BQ1132" t="s">
        <v>657</v>
      </c>
      <c r="BR1132" t="s">
        <v>97</v>
      </c>
      <c r="BS1132" s="3">
        <v>45940</v>
      </c>
      <c r="BT1132" s="4">
        <v>0.3888888888888889</v>
      </c>
      <c r="BU1132" t="s">
        <v>658</v>
      </c>
      <c r="BV1132" t="s">
        <v>86</v>
      </c>
      <c r="BY1132">
        <v>4560</v>
      </c>
      <c r="CA1132" t="s">
        <v>211</v>
      </c>
      <c r="CC1132" t="s">
        <v>207</v>
      </c>
      <c r="CD1132">
        <v>7441</v>
      </c>
      <c r="CE1132" t="s">
        <v>191</v>
      </c>
      <c r="CF1132" s="3">
        <v>45943</v>
      </c>
      <c r="CI1132">
        <v>1</v>
      </c>
      <c r="CJ1132">
        <v>1</v>
      </c>
      <c r="CK1132">
        <v>21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"080068416938"</f>
        <v>080068416938</v>
      </c>
      <c r="F1133" s="3">
        <v>45939</v>
      </c>
      <c r="G1133">
        <v>202607</v>
      </c>
      <c r="H1133" t="s">
        <v>79</v>
      </c>
      <c r="I1133" t="s">
        <v>80</v>
      </c>
      <c r="J1133" t="s">
        <v>91</v>
      </c>
      <c r="K1133" t="s">
        <v>78</v>
      </c>
      <c r="L1133" t="s">
        <v>79</v>
      </c>
      <c r="M1133" t="s">
        <v>80</v>
      </c>
      <c r="N1133" t="s">
        <v>1884</v>
      </c>
      <c r="O1133" t="s">
        <v>82</v>
      </c>
      <c r="P1133" t="str">
        <f>"4170063750                    "</f>
        <v xml:space="preserve">4170063750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17.46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55.42</v>
      </c>
      <c r="BM1133">
        <v>8.31</v>
      </c>
      <c r="BN1133">
        <v>63.73</v>
      </c>
      <c r="BO1133">
        <v>63.73</v>
      </c>
      <c r="BQ1133" t="s">
        <v>1885</v>
      </c>
      <c r="BR1133" t="s">
        <v>97</v>
      </c>
      <c r="BS1133" s="3">
        <v>45940</v>
      </c>
      <c r="BT1133" s="4">
        <v>0.34027777777777779</v>
      </c>
      <c r="BU1133" t="s">
        <v>1886</v>
      </c>
      <c r="BV1133" t="s">
        <v>86</v>
      </c>
      <c r="BY1133">
        <v>1200</v>
      </c>
      <c r="CA1133" t="s">
        <v>280</v>
      </c>
      <c r="CC1133" t="s">
        <v>80</v>
      </c>
      <c r="CD1133">
        <v>1601</v>
      </c>
      <c r="CE1133" t="s">
        <v>147</v>
      </c>
      <c r="CF1133" s="3">
        <v>45941</v>
      </c>
      <c r="CI1133">
        <v>1</v>
      </c>
      <c r="CJ1133">
        <v>1</v>
      </c>
      <c r="CK1133">
        <v>22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"080068417376"</f>
        <v>080068417376</v>
      </c>
      <c r="F1134" s="3">
        <v>45939</v>
      </c>
      <c r="G1134">
        <v>202607</v>
      </c>
      <c r="H1134" t="s">
        <v>79</v>
      </c>
      <c r="I1134" t="s">
        <v>80</v>
      </c>
      <c r="J1134" t="s">
        <v>91</v>
      </c>
      <c r="K1134" t="s">
        <v>78</v>
      </c>
      <c r="L1134" t="s">
        <v>168</v>
      </c>
      <c r="M1134" t="s">
        <v>169</v>
      </c>
      <c r="N1134" t="s">
        <v>1801</v>
      </c>
      <c r="O1134" t="s">
        <v>95</v>
      </c>
      <c r="P1134" t="str">
        <f>"4170063681                    "</f>
        <v xml:space="preserve">4170063681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64.650000000000006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3</v>
      </c>
      <c r="BI1134">
        <v>27</v>
      </c>
      <c r="BJ1134">
        <v>26.4</v>
      </c>
      <c r="BK1134">
        <v>27</v>
      </c>
      <c r="BL1134">
        <v>211.06</v>
      </c>
      <c r="BM1134">
        <v>31.66</v>
      </c>
      <c r="BN1134">
        <v>242.72</v>
      </c>
      <c r="BO1134">
        <v>242.72</v>
      </c>
      <c r="BQ1134" t="s">
        <v>1802</v>
      </c>
      <c r="BR1134" t="s">
        <v>97</v>
      </c>
      <c r="BS1134" s="3">
        <v>45940</v>
      </c>
      <c r="BT1134" s="4">
        <v>0.34375</v>
      </c>
      <c r="BU1134" t="s">
        <v>1900</v>
      </c>
      <c r="BV1134" t="s">
        <v>86</v>
      </c>
      <c r="BY1134">
        <v>44064</v>
      </c>
      <c r="CC1134" t="s">
        <v>169</v>
      </c>
      <c r="CD1134" s="5" t="s">
        <v>839</v>
      </c>
      <c r="CE1134" t="s">
        <v>1088</v>
      </c>
      <c r="CF1134" s="3">
        <v>45940</v>
      </c>
      <c r="CI1134">
        <v>1</v>
      </c>
      <c r="CJ1134">
        <v>1</v>
      </c>
      <c r="CK1134">
        <v>41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"080068417524"</f>
        <v>080068417524</v>
      </c>
      <c r="F1135" s="3">
        <v>45939</v>
      </c>
      <c r="G1135">
        <v>202607</v>
      </c>
      <c r="H1135" t="s">
        <v>79</v>
      </c>
      <c r="I1135" t="s">
        <v>80</v>
      </c>
      <c r="J1135" t="s">
        <v>91</v>
      </c>
      <c r="K1135" t="s">
        <v>78</v>
      </c>
      <c r="L1135" t="s">
        <v>333</v>
      </c>
      <c r="M1135" t="s">
        <v>334</v>
      </c>
      <c r="N1135" t="s">
        <v>1388</v>
      </c>
      <c r="O1135" t="s">
        <v>82</v>
      </c>
      <c r="P1135" t="str">
        <f>"4170063716                    "</f>
        <v xml:space="preserve">4170063716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89.37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8</v>
      </c>
      <c r="BJ1135">
        <v>6.9</v>
      </c>
      <c r="BK1135">
        <v>8</v>
      </c>
      <c r="BL1135">
        <v>283.64999999999998</v>
      </c>
      <c r="BM1135">
        <v>42.55</v>
      </c>
      <c r="BN1135">
        <v>326.2</v>
      </c>
      <c r="BO1135">
        <v>326.2</v>
      </c>
      <c r="BQ1135" t="s">
        <v>1389</v>
      </c>
      <c r="BR1135" t="s">
        <v>97</v>
      </c>
      <c r="BS1135" s="3">
        <v>45940</v>
      </c>
      <c r="BT1135" s="4">
        <v>0.41875000000000001</v>
      </c>
      <c r="BU1135" t="s">
        <v>1870</v>
      </c>
      <c r="BV1135" t="s">
        <v>86</v>
      </c>
      <c r="BY1135">
        <v>34656</v>
      </c>
      <c r="CA1135" t="s">
        <v>1858</v>
      </c>
      <c r="CC1135" t="s">
        <v>334</v>
      </c>
      <c r="CD1135">
        <v>6220</v>
      </c>
      <c r="CE1135" t="s">
        <v>191</v>
      </c>
      <c r="CF1135" s="3">
        <v>45940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"080068417543"</f>
        <v>080068417543</v>
      </c>
      <c r="F1136" s="3">
        <v>45939</v>
      </c>
      <c r="G1136">
        <v>202607</v>
      </c>
      <c r="H1136" t="s">
        <v>79</v>
      </c>
      <c r="I1136" t="s">
        <v>80</v>
      </c>
      <c r="J1136" t="s">
        <v>91</v>
      </c>
      <c r="K1136" t="s">
        <v>78</v>
      </c>
      <c r="L1136" t="s">
        <v>114</v>
      </c>
      <c r="M1136" t="s">
        <v>115</v>
      </c>
      <c r="N1136" t="s">
        <v>881</v>
      </c>
      <c r="O1136" t="s">
        <v>82</v>
      </c>
      <c r="P1136" t="str">
        <f>"4170063754                    "</f>
        <v xml:space="preserve">4170063754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22.36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70.959999999999994</v>
      </c>
      <c r="BM1136">
        <v>10.64</v>
      </c>
      <c r="BN1136">
        <v>81.599999999999994</v>
      </c>
      <c r="BO1136">
        <v>81.599999999999994</v>
      </c>
      <c r="BQ1136" t="s">
        <v>882</v>
      </c>
      <c r="BR1136" t="s">
        <v>97</v>
      </c>
      <c r="BS1136" s="3">
        <v>45940</v>
      </c>
      <c r="BT1136" s="4">
        <v>0.53055555555555556</v>
      </c>
      <c r="BU1136" t="s">
        <v>1901</v>
      </c>
      <c r="BV1136" t="s">
        <v>90</v>
      </c>
      <c r="BY1136">
        <v>1200</v>
      </c>
      <c r="CA1136" t="s">
        <v>749</v>
      </c>
      <c r="CC1136" t="s">
        <v>115</v>
      </c>
      <c r="CD1136">
        <v>5201</v>
      </c>
      <c r="CE1136" t="s">
        <v>147</v>
      </c>
      <c r="CF1136" s="3">
        <v>45940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"080068417577"</f>
        <v>080068417577</v>
      </c>
      <c r="F1137" s="3">
        <v>45939</v>
      </c>
      <c r="G1137">
        <v>202607</v>
      </c>
      <c r="H1137" t="s">
        <v>79</v>
      </c>
      <c r="I1137" t="s">
        <v>80</v>
      </c>
      <c r="J1137" t="s">
        <v>91</v>
      </c>
      <c r="K1137" t="s">
        <v>78</v>
      </c>
      <c r="L1137" t="s">
        <v>271</v>
      </c>
      <c r="M1137" t="s">
        <v>272</v>
      </c>
      <c r="N1137" t="s">
        <v>368</v>
      </c>
      <c r="O1137" t="s">
        <v>82</v>
      </c>
      <c r="P1137" t="str">
        <f>"4170063695                    "</f>
        <v xml:space="preserve">4170063695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17.46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55.42</v>
      </c>
      <c r="BM1137">
        <v>8.31</v>
      </c>
      <c r="BN1137">
        <v>63.73</v>
      </c>
      <c r="BO1137">
        <v>63.73</v>
      </c>
      <c r="BQ1137" t="s">
        <v>369</v>
      </c>
      <c r="BR1137" t="s">
        <v>97</v>
      </c>
      <c r="BS1137" s="3">
        <v>45940</v>
      </c>
      <c r="BT1137" s="4">
        <v>0.36180555555555555</v>
      </c>
      <c r="BU1137" t="s">
        <v>1902</v>
      </c>
      <c r="BV1137" t="s">
        <v>86</v>
      </c>
      <c r="BY1137">
        <v>1200</v>
      </c>
      <c r="CA1137" t="s">
        <v>371</v>
      </c>
      <c r="CC1137" t="s">
        <v>272</v>
      </c>
      <c r="CD1137">
        <v>1401</v>
      </c>
      <c r="CE1137" t="s">
        <v>147</v>
      </c>
      <c r="CF1137" s="3">
        <v>45940</v>
      </c>
      <c r="CI1137">
        <v>1</v>
      </c>
      <c r="CJ1137">
        <v>1</v>
      </c>
      <c r="CK1137">
        <v>22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"080068417582"</f>
        <v>080068417582</v>
      </c>
      <c r="F1138" s="3">
        <v>45939</v>
      </c>
      <c r="G1138">
        <v>202607</v>
      </c>
      <c r="H1138" t="s">
        <v>79</v>
      </c>
      <c r="I1138" t="s">
        <v>80</v>
      </c>
      <c r="J1138" t="s">
        <v>91</v>
      </c>
      <c r="K1138" t="s">
        <v>78</v>
      </c>
      <c r="L1138" t="s">
        <v>92</v>
      </c>
      <c r="M1138" t="s">
        <v>93</v>
      </c>
      <c r="N1138" t="s">
        <v>143</v>
      </c>
      <c r="O1138" t="s">
        <v>95</v>
      </c>
      <c r="P1138" t="str">
        <f>"4170063757                    "</f>
        <v xml:space="preserve">4170063757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48.59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14</v>
      </c>
      <c r="BJ1138">
        <v>17.7</v>
      </c>
      <c r="BK1138">
        <v>18</v>
      </c>
      <c r="BL1138">
        <v>160.08000000000001</v>
      </c>
      <c r="BM1138">
        <v>24.01</v>
      </c>
      <c r="BN1138">
        <v>184.09</v>
      </c>
      <c r="BO1138">
        <v>184.09</v>
      </c>
      <c r="BQ1138" t="s">
        <v>144</v>
      </c>
      <c r="BR1138" t="s">
        <v>97</v>
      </c>
      <c r="BS1138" s="3">
        <v>45940</v>
      </c>
      <c r="BT1138" s="4">
        <v>0.44027777777777777</v>
      </c>
      <c r="BU1138" t="s">
        <v>1903</v>
      </c>
      <c r="BV1138" t="s">
        <v>86</v>
      </c>
      <c r="BY1138">
        <v>88320</v>
      </c>
      <c r="CA1138" t="s">
        <v>100</v>
      </c>
      <c r="CC1138" t="s">
        <v>93</v>
      </c>
      <c r="CD1138">
        <v>3200</v>
      </c>
      <c r="CE1138" t="s">
        <v>191</v>
      </c>
      <c r="CF1138" s="3">
        <v>45941</v>
      </c>
      <c r="CI1138">
        <v>2</v>
      </c>
      <c r="CJ1138">
        <v>1</v>
      </c>
      <c r="CK1138">
        <v>41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"080068417600"</f>
        <v>080068417600</v>
      </c>
      <c r="F1139" s="3">
        <v>45939</v>
      </c>
      <c r="G1139">
        <v>202607</v>
      </c>
      <c r="H1139" t="s">
        <v>79</v>
      </c>
      <c r="I1139" t="s">
        <v>80</v>
      </c>
      <c r="J1139" t="s">
        <v>91</v>
      </c>
      <c r="K1139" t="s">
        <v>78</v>
      </c>
      <c r="L1139" t="s">
        <v>114</v>
      </c>
      <c r="M1139" t="s">
        <v>115</v>
      </c>
      <c r="N1139" t="s">
        <v>746</v>
      </c>
      <c r="O1139" t="s">
        <v>82</v>
      </c>
      <c r="P1139" t="str">
        <f>"4170063686                    "</f>
        <v xml:space="preserve">4170063686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22.36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70.959999999999994</v>
      </c>
      <c r="BM1139">
        <v>10.64</v>
      </c>
      <c r="BN1139">
        <v>81.599999999999994</v>
      </c>
      <c r="BO1139">
        <v>81.599999999999994</v>
      </c>
      <c r="BQ1139" t="s">
        <v>747</v>
      </c>
      <c r="BR1139" t="s">
        <v>97</v>
      </c>
      <c r="BS1139" s="3">
        <v>45940</v>
      </c>
      <c r="BT1139" s="4">
        <v>0.54374999999999996</v>
      </c>
      <c r="BU1139" t="s">
        <v>1863</v>
      </c>
      <c r="BV1139" t="s">
        <v>90</v>
      </c>
      <c r="BY1139">
        <v>1200</v>
      </c>
      <c r="CA1139" t="s">
        <v>749</v>
      </c>
      <c r="CC1139" t="s">
        <v>115</v>
      </c>
      <c r="CD1139">
        <v>5200</v>
      </c>
      <c r="CE1139" t="s">
        <v>147</v>
      </c>
      <c r="CF1139" s="3">
        <v>45940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"080068417617"</f>
        <v>080068417617</v>
      </c>
      <c r="F1140" s="3">
        <v>45939</v>
      </c>
      <c r="G1140">
        <v>202607</v>
      </c>
      <c r="H1140" t="s">
        <v>79</v>
      </c>
      <c r="I1140" t="s">
        <v>80</v>
      </c>
      <c r="J1140" t="s">
        <v>91</v>
      </c>
      <c r="K1140" t="s">
        <v>78</v>
      </c>
      <c r="L1140" t="s">
        <v>605</v>
      </c>
      <c r="M1140" t="s">
        <v>606</v>
      </c>
      <c r="N1140" t="s">
        <v>607</v>
      </c>
      <c r="O1140" t="s">
        <v>82</v>
      </c>
      <c r="P1140" t="str">
        <f>"4170063725                    "</f>
        <v xml:space="preserve">4170063725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43.31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0.9</v>
      </c>
      <c r="BK1140">
        <v>2</v>
      </c>
      <c r="BL1140">
        <v>137.47</v>
      </c>
      <c r="BM1140">
        <v>20.62</v>
      </c>
      <c r="BN1140">
        <v>158.09</v>
      </c>
      <c r="BO1140">
        <v>158.09</v>
      </c>
      <c r="BQ1140" t="s">
        <v>608</v>
      </c>
      <c r="BR1140" t="s">
        <v>97</v>
      </c>
      <c r="BS1140" s="3">
        <v>45940</v>
      </c>
      <c r="BT1140" s="4">
        <v>0.32361111111111113</v>
      </c>
      <c r="BU1140" t="s">
        <v>609</v>
      </c>
      <c r="BV1140" t="s">
        <v>86</v>
      </c>
      <c r="BY1140">
        <v>4480</v>
      </c>
      <c r="CA1140" t="s">
        <v>1143</v>
      </c>
      <c r="CC1140" t="s">
        <v>606</v>
      </c>
      <c r="CD1140">
        <v>1947</v>
      </c>
      <c r="CE1140" t="s">
        <v>107</v>
      </c>
      <c r="CF1140" s="3">
        <v>45940</v>
      </c>
      <c r="CI1140">
        <v>1</v>
      </c>
      <c r="CJ1140">
        <v>1</v>
      </c>
      <c r="CK1140">
        <v>23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"080068417753"</f>
        <v>080068417753</v>
      </c>
      <c r="F1141" s="3">
        <v>45939</v>
      </c>
      <c r="G1141">
        <v>202607</v>
      </c>
      <c r="H1141" t="s">
        <v>79</v>
      </c>
      <c r="I1141" t="s">
        <v>80</v>
      </c>
      <c r="J1141" t="s">
        <v>91</v>
      </c>
      <c r="K1141" t="s">
        <v>78</v>
      </c>
      <c r="L1141" t="s">
        <v>223</v>
      </c>
      <c r="M1141" t="s">
        <v>224</v>
      </c>
      <c r="N1141" t="s">
        <v>1671</v>
      </c>
      <c r="O1141" t="s">
        <v>82</v>
      </c>
      <c r="P1141" t="str">
        <f>"4170063715                    "</f>
        <v xml:space="preserve">4170063715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17.46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2</v>
      </c>
      <c r="BJ1141">
        <v>1.3</v>
      </c>
      <c r="BK1141">
        <v>2</v>
      </c>
      <c r="BL1141">
        <v>55.42</v>
      </c>
      <c r="BM1141">
        <v>8.31</v>
      </c>
      <c r="BN1141">
        <v>63.73</v>
      </c>
      <c r="BO1141">
        <v>63.73</v>
      </c>
      <c r="BQ1141" t="s">
        <v>1672</v>
      </c>
      <c r="BR1141" t="s">
        <v>97</v>
      </c>
      <c r="BS1141" s="3">
        <v>45940</v>
      </c>
      <c r="BT1141" s="4">
        <v>0.38263888888888886</v>
      </c>
      <c r="BU1141" t="s">
        <v>1904</v>
      </c>
      <c r="BV1141" t="s">
        <v>86</v>
      </c>
      <c r="BY1141">
        <v>6480</v>
      </c>
      <c r="CA1141" t="s">
        <v>508</v>
      </c>
      <c r="CC1141" t="s">
        <v>224</v>
      </c>
      <c r="CD1141">
        <v>1459</v>
      </c>
      <c r="CE1141" t="s">
        <v>107</v>
      </c>
      <c r="CF1141" s="3">
        <v>45941</v>
      </c>
      <c r="CI1141">
        <v>1</v>
      </c>
      <c r="CJ1141">
        <v>1</v>
      </c>
      <c r="CK1141">
        <v>22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"080068417773"</f>
        <v>080068417773</v>
      </c>
      <c r="F1142" s="3">
        <v>45939</v>
      </c>
      <c r="G1142">
        <v>202607</v>
      </c>
      <c r="H1142" t="s">
        <v>79</v>
      </c>
      <c r="I1142" t="s">
        <v>80</v>
      </c>
      <c r="J1142" t="s">
        <v>91</v>
      </c>
      <c r="K1142" t="s">
        <v>78</v>
      </c>
      <c r="L1142" t="s">
        <v>223</v>
      </c>
      <c r="M1142" t="s">
        <v>224</v>
      </c>
      <c r="N1142" t="s">
        <v>1464</v>
      </c>
      <c r="O1142" t="s">
        <v>82</v>
      </c>
      <c r="P1142" t="str">
        <f>"4170063765                    "</f>
        <v xml:space="preserve">4170063765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17.46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55.42</v>
      </c>
      <c r="BM1142">
        <v>8.31</v>
      </c>
      <c r="BN1142">
        <v>63.73</v>
      </c>
      <c r="BO1142">
        <v>63.73</v>
      </c>
      <c r="BQ1142" t="s">
        <v>1465</v>
      </c>
      <c r="BR1142" t="s">
        <v>97</v>
      </c>
      <c r="BS1142" s="3">
        <v>45940</v>
      </c>
      <c r="BT1142" s="4">
        <v>0.4375</v>
      </c>
      <c r="BU1142" t="s">
        <v>1905</v>
      </c>
      <c r="BV1142" t="s">
        <v>86</v>
      </c>
      <c r="BY1142">
        <v>1200</v>
      </c>
      <c r="CC1142" t="s">
        <v>224</v>
      </c>
      <c r="CD1142">
        <v>1459</v>
      </c>
      <c r="CE1142" t="s">
        <v>147</v>
      </c>
      <c r="CF1142" s="3">
        <v>45941</v>
      </c>
      <c r="CI1142">
        <v>1</v>
      </c>
      <c r="CJ1142">
        <v>1</v>
      </c>
      <c r="CK1142">
        <v>22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"080068417797"</f>
        <v>080068417797</v>
      </c>
      <c r="F1143" s="3">
        <v>45939</v>
      </c>
      <c r="G1143">
        <v>202607</v>
      </c>
      <c r="H1143" t="s">
        <v>79</v>
      </c>
      <c r="I1143" t="s">
        <v>80</v>
      </c>
      <c r="J1143" t="s">
        <v>91</v>
      </c>
      <c r="K1143" t="s">
        <v>78</v>
      </c>
      <c r="L1143" t="s">
        <v>206</v>
      </c>
      <c r="M1143" t="s">
        <v>207</v>
      </c>
      <c r="N1143" t="s">
        <v>208</v>
      </c>
      <c r="O1143" t="s">
        <v>82</v>
      </c>
      <c r="P1143" t="str">
        <f>"4170063763                    "</f>
        <v xml:space="preserve">4170063763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22.36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70.959999999999994</v>
      </c>
      <c r="BM1143">
        <v>10.64</v>
      </c>
      <c r="BN1143">
        <v>81.599999999999994</v>
      </c>
      <c r="BO1143">
        <v>81.599999999999994</v>
      </c>
      <c r="BQ1143" t="s">
        <v>209</v>
      </c>
      <c r="BR1143" t="s">
        <v>97</v>
      </c>
      <c r="BS1143" s="3">
        <v>45940</v>
      </c>
      <c r="BT1143" s="4">
        <v>0.38055555555555554</v>
      </c>
      <c r="BU1143" t="s">
        <v>1732</v>
      </c>
      <c r="BV1143" t="s">
        <v>86</v>
      </c>
      <c r="BY1143">
        <v>1200</v>
      </c>
      <c r="CA1143" t="s">
        <v>211</v>
      </c>
      <c r="CC1143" t="s">
        <v>207</v>
      </c>
      <c r="CD1143">
        <v>7441</v>
      </c>
      <c r="CE1143" t="s">
        <v>147</v>
      </c>
      <c r="CF1143" s="3">
        <v>45943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"080068417824"</f>
        <v>080068417824</v>
      </c>
      <c r="F1144" s="3">
        <v>45939</v>
      </c>
      <c r="G1144">
        <v>202607</v>
      </c>
      <c r="H1144" t="s">
        <v>79</v>
      </c>
      <c r="I1144" t="s">
        <v>80</v>
      </c>
      <c r="J1144" t="s">
        <v>91</v>
      </c>
      <c r="K1144" t="s">
        <v>78</v>
      </c>
      <c r="L1144" t="s">
        <v>223</v>
      </c>
      <c r="M1144" t="s">
        <v>224</v>
      </c>
      <c r="N1144" t="s">
        <v>1464</v>
      </c>
      <c r="O1144" t="s">
        <v>82</v>
      </c>
      <c r="P1144" t="str">
        <f>"4170063707                    "</f>
        <v xml:space="preserve">4170063707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17.46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55.42</v>
      </c>
      <c r="BM1144">
        <v>8.31</v>
      </c>
      <c r="BN1144">
        <v>63.73</v>
      </c>
      <c r="BO1144">
        <v>63.73</v>
      </c>
      <c r="BQ1144" t="s">
        <v>1465</v>
      </c>
      <c r="BR1144" t="s">
        <v>97</v>
      </c>
      <c r="BS1144" s="3">
        <v>45940</v>
      </c>
      <c r="BT1144" s="4">
        <v>0.4375</v>
      </c>
      <c r="BU1144" t="s">
        <v>1905</v>
      </c>
      <c r="BV1144" t="s">
        <v>86</v>
      </c>
      <c r="BY1144">
        <v>1200</v>
      </c>
      <c r="CC1144" t="s">
        <v>224</v>
      </c>
      <c r="CD1144">
        <v>1459</v>
      </c>
      <c r="CE1144" t="s">
        <v>147</v>
      </c>
      <c r="CF1144" s="3">
        <v>45941</v>
      </c>
      <c r="CI1144">
        <v>1</v>
      </c>
      <c r="CJ1144">
        <v>1</v>
      </c>
      <c r="CK1144">
        <v>22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"R080068291153"</f>
        <v>R080068291153</v>
      </c>
      <c r="F1145" s="3">
        <v>45939</v>
      </c>
      <c r="G1145">
        <v>202607</v>
      </c>
      <c r="H1145" t="s">
        <v>174</v>
      </c>
      <c r="I1145" t="s">
        <v>175</v>
      </c>
      <c r="J1145" t="s">
        <v>176</v>
      </c>
      <c r="K1145" t="s">
        <v>78</v>
      </c>
      <c r="L1145" t="s">
        <v>79</v>
      </c>
      <c r="M1145" t="s">
        <v>80</v>
      </c>
      <c r="N1145" t="s">
        <v>91</v>
      </c>
      <c r="O1145" t="s">
        <v>95</v>
      </c>
      <c r="P1145" t="str">
        <f>"4170062833                    "</f>
        <v xml:space="preserve">4170062833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53.84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4</v>
      </c>
      <c r="BI1145">
        <v>36</v>
      </c>
      <c r="BJ1145">
        <v>19.7</v>
      </c>
      <c r="BK1145">
        <v>36</v>
      </c>
      <c r="BL1145">
        <v>176.75</v>
      </c>
      <c r="BM1145">
        <v>26.51</v>
      </c>
      <c r="BN1145">
        <v>203.26</v>
      </c>
      <c r="BO1145">
        <v>203.26</v>
      </c>
      <c r="BQ1145" t="s">
        <v>97</v>
      </c>
      <c r="BR1145" t="s">
        <v>177</v>
      </c>
      <c r="BS1145" s="3">
        <v>45940</v>
      </c>
      <c r="BT1145" s="4">
        <v>0.61736111111111114</v>
      </c>
      <c r="BU1145" t="s">
        <v>85</v>
      </c>
      <c r="BV1145" t="s">
        <v>86</v>
      </c>
      <c r="BY1145">
        <v>24576</v>
      </c>
      <c r="CA1145" t="s">
        <v>1368</v>
      </c>
      <c r="CC1145" t="s">
        <v>80</v>
      </c>
      <c r="CD1145">
        <v>1601</v>
      </c>
      <c r="CE1145" t="s">
        <v>1088</v>
      </c>
      <c r="CF1145" s="3">
        <v>45941</v>
      </c>
      <c r="CI1145">
        <v>1</v>
      </c>
      <c r="CJ1145">
        <v>1</v>
      </c>
      <c r="CK1145">
        <v>42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"080068417853"</f>
        <v>080068417853</v>
      </c>
      <c r="F1146" s="3">
        <v>45939</v>
      </c>
      <c r="G1146">
        <v>202607</v>
      </c>
      <c r="H1146" t="s">
        <v>79</v>
      </c>
      <c r="I1146" t="s">
        <v>80</v>
      </c>
      <c r="J1146" t="s">
        <v>91</v>
      </c>
      <c r="K1146" t="s">
        <v>78</v>
      </c>
      <c r="L1146" t="s">
        <v>453</v>
      </c>
      <c r="M1146" t="s">
        <v>454</v>
      </c>
      <c r="N1146" t="s">
        <v>845</v>
      </c>
      <c r="O1146" t="s">
        <v>82</v>
      </c>
      <c r="P1146" t="str">
        <f>"4170063745                    "</f>
        <v xml:space="preserve">4170063745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22.36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70.959999999999994</v>
      </c>
      <c r="BM1146">
        <v>10.64</v>
      </c>
      <c r="BN1146">
        <v>81.599999999999994</v>
      </c>
      <c r="BO1146">
        <v>81.599999999999994</v>
      </c>
      <c r="BQ1146" t="s">
        <v>846</v>
      </c>
      <c r="BR1146" t="s">
        <v>97</v>
      </c>
      <c r="BS1146" s="3">
        <v>45940</v>
      </c>
      <c r="BT1146" s="4">
        <v>0.44097222222222221</v>
      </c>
      <c r="BU1146" t="s">
        <v>847</v>
      </c>
      <c r="BV1146" t="s">
        <v>86</v>
      </c>
      <c r="BY1146">
        <v>1200</v>
      </c>
      <c r="CA1146" t="s">
        <v>848</v>
      </c>
      <c r="CC1146" t="s">
        <v>454</v>
      </c>
      <c r="CD1146">
        <v>3610</v>
      </c>
      <c r="CE1146" t="s">
        <v>147</v>
      </c>
      <c r="CF1146" s="3">
        <v>45944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"080068417881"</f>
        <v>080068417881</v>
      </c>
      <c r="F1147" s="3">
        <v>45939</v>
      </c>
      <c r="G1147">
        <v>202607</v>
      </c>
      <c r="H1147" t="s">
        <v>79</v>
      </c>
      <c r="I1147" t="s">
        <v>80</v>
      </c>
      <c r="J1147" t="s">
        <v>91</v>
      </c>
      <c r="K1147" t="s">
        <v>78</v>
      </c>
      <c r="L1147" t="s">
        <v>530</v>
      </c>
      <c r="M1147" t="s">
        <v>531</v>
      </c>
      <c r="N1147" t="s">
        <v>754</v>
      </c>
      <c r="O1147" t="s">
        <v>82</v>
      </c>
      <c r="P1147" t="str">
        <f>"4170063756                    "</f>
        <v xml:space="preserve">4170063756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43.31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1.1000000000000001</v>
      </c>
      <c r="BK1147">
        <v>2</v>
      </c>
      <c r="BL1147">
        <v>137.47</v>
      </c>
      <c r="BM1147">
        <v>20.62</v>
      </c>
      <c r="BN1147">
        <v>158.09</v>
      </c>
      <c r="BO1147">
        <v>158.09</v>
      </c>
      <c r="BQ1147" t="s">
        <v>755</v>
      </c>
      <c r="BR1147" t="s">
        <v>97</v>
      </c>
      <c r="BS1147" s="3">
        <v>45940</v>
      </c>
      <c r="BT1147" s="4">
        <v>0.41666666666666669</v>
      </c>
      <c r="BU1147" t="s">
        <v>1906</v>
      </c>
      <c r="BV1147" t="s">
        <v>86</v>
      </c>
      <c r="BY1147">
        <v>5320</v>
      </c>
      <c r="CC1147" t="s">
        <v>531</v>
      </c>
      <c r="CD1147">
        <v>6850</v>
      </c>
      <c r="CE1147" t="s">
        <v>1907</v>
      </c>
      <c r="CF1147" s="3">
        <v>45943</v>
      </c>
      <c r="CI1147">
        <v>2</v>
      </c>
      <c r="CJ1147">
        <v>1</v>
      </c>
      <c r="CK1147">
        <v>23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"080068417907"</f>
        <v>080068417907</v>
      </c>
      <c r="F1148" s="3">
        <v>45939</v>
      </c>
      <c r="G1148">
        <v>202607</v>
      </c>
      <c r="H1148" t="s">
        <v>79</v>
      </c>
      <c r="I1148" t="s">
        <v>80</v>
      </c>
      <c r="J1148" t="s">
        <v>91</v>
      </c>
      <c r="K1148" t="s">
        <v>78</v>
      </c>
      <c r="L1148" t="s">
        <v>79</v>
      </c>
      <c r="M1148" t="s">
        <v>80</v>
      </c>
      <c r="N1148" t="s">
        <v>1499</v>
      </c>
      <c r="O1148" t="s">
        <v>82</v>
      </c>
      <c r="P1148" t="str">
        <f>"4170063752                    "</f>
        <v xml:space="preserve">4170063752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17.46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55.42</v>
      </c>
      <c r="BM1148">
        <v>8.31</v>
      </c>
      <c r="BN1148">
        <v>63.73</v>
      </c>
      <c r="BO1148">
        <v>63.73</v>
      </c>
      <c r="BQ1148" t="s">
        <v>1500</v>
      </c>
      <c r="BR1148" t="s">
        <v>97</v>
      </c>
      <c r="BS1148" s="3">
        <v>45940</v>
      </c>
      <c r="BT1148" s="4">
        <v>0.38541666666666669</v>
      </c>
      <c r="BU1148" t="s">
        <v>378</v>
      </c>
      <c r="BV1148" t="s">
        <v>86</v>
      </c>
      <c r="BY1148">
        <v>1200</v>
      </c>
      <c r="CA1148" t="s">
        <v>280</v>
      </c>
      <c r="CC1148" t="s">
        <v>80</v>
      </c>
      <c r="CD1148">
        <v>1614</v>
      </c>
      <c r="CE1148" t="s">
        <v>147</v>
      </c>
      <c r="CF1148" s="3">
        <v>45941</v>
      </c>
      <c r="CI1148">
        <v>1</v>
      </c>
      <c r="CJ1148">
        <v>1</v>
      </c>
      <c r="CK1148">
        <v>22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"080068418135"</f>
        <v>080068418135</v>
      </c>
      <c r="F1149" s="3">
        <v>45939</v>
      </c>
      <c r="G1149">
        <v>202607</v>
      </c>
      <c r="H1149" t="s">
        <v>79</v>
      </c>
      <c r="I1149" t="s">
        <v>80</v>
      </c>
      <c r="J1149" t="s">
        <v>91</v>
      </c>
      <c r="K1149" t="s">
        <v>78</v>
      </c>
      <c r="L1149" t="s">
        <v>350</v>
      </c>
      <c r="M1149" t="s">
        <v>351</v>
      </c>
      <c r="N1149" t="s">
        <v>1908</v>
      </c>
      <c r="O1149" t="s">
        <v>82</v>
      </c>
      <c r="P1149" t="str">
        <f>"4170063759                    "</f>
        <v xml:space="preserve">4170063759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43.31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137.47</v>
      </c>
      <c r="BM1149">
        <v>20.62</v>
      </c>
      <c r="BN1149">
        <v>158.09</v>
      </c>
      <c r="BO1149">
        <v>158.09</v>
      </c>
      <c r="BQ1149" t="s">
        <v>1909</v>
      </c>
      <c r="BR1149" t="s">
        <v>97</v>
      </c>
      <c r="BS1149" s="3">
        <v>45940</v>
      </c>
      <c r="BT1149" s="4">
        <v>0.42638888888888887</v>
      </c>
      <c r="BU1149" t="s">
        <v>1910</v>
      </c>
      <c r="BV1149" t="s">
        <v>86</v>
      </c>
      <c r="BY1149">
        <v>1200</v>
      </c>
      <c r="CA1149" t="s">
        <v>355</v>
      </c>
      <c r="CC1149" t="s">
        <v>351</v>
      </c>
      <c r="CD1149" s="5" t="s">
        <v>1911</v>
      </c>
      <c r="CE1149" t="s">
        <v>147</v>
      </c>
      <c r="CF1149" s="3">
        <v>45943</v>
      </c>
      <c r="CI1149">
        <v>1</v>
      </c>
      <c r="CJ1149">
        <v>1</v>
      </c>
      <c r="CK1149">
        <v>23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"080068418166"</f>
        <v>080068418166</v>
      </c>
      <c r="F1150" s="3">
        <v>45939</v>
      </c>
      <c r="G1150">
        <v>202607</v>
      </c>
      <c r="H1150" t="s">
        <v>79</v>
      </c>
      <c r="I1150" t="s">
        <v>80</v>
      </c>
      <c r="J1150" t="s">
        <v>91</v>
      </c>
      <c r="K1150" t="s">
        <v>78</v>
      </c>
      <c r="L1150" t="s">
        <v>1912</v>
      </c>
      <c r="M1150" t="s">
        <v>1913</v>
      </c>
      <c r="N1150" t="s">
        <v>1914</v>
      </c>
      <c r="O1150" t="s">
        <v>82</v>
      </c>
      <c r="P1150" t="str">
        <f>"4170063771                    "</f>
        <v xml:space="preserve">4170063771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43.31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137.47</v>
      </c>
      <c r="BM1150">
        <v>20.62</v>
      </c>
      <c r="BN1150">
        <v>158.09</v>
      </c>
      <c r="BO1150">
        <v>158.09</v>
      </c>
      <c r="BQ1150" t="s">
        <v>1915</v>
      </c>
      <c r="BR1150" t="s">
        <v>97</v>
      </c>
      <c r="BS1150" s="3">
        <v>45943</v>
      </c>
      <c r="BT1150" s="4">
        <v>0.34791666666666665</v>
      </c>
      <c r="BU1150" t="s">
        <v>1607</v>
      </c>
      <c r="BV1150" t="s">
        <v>86</v>
      </c>
      <c r="BY1150">
        <v>1200</v>
      </c>
      <c r="CC1150" t="s">
        <v>1913</v>
      </c>
      <c r="CD1150">
        <v>6140</v>
      </c>
      <c r="CE1150" t="s">
        <v>147</v>
      </c>
      <c r="CF1150" s="3">
        <v>45945</v>
      </c>
      <c r="CI1150">
        <v>2</v>
      </c>
      <c r="CJ1150">
        <v>2</v>
      </c>
      <c r="CK1150">
        <v>23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"080068418472"</f>
        <v>080068418472</v>
      </c>
      <c r="F1151" s="3">
        <v>45939</v>
      </c>
      <c r="G1151">
        <v>202607</v>
      </c>
      <c r="H1151" t="s">
        <v>79</v>
      </c>
      <c r="I1151" t="s">
        <v>80</v>
      </c>
      <c r="J1151" t="s">
        <v>91</v>
      </c>
      <c r="K1151" t="s">
        <v>78</v>
      </c>
      <c r="L1151" t="s">
        <v>148</v>
      </c>
      <c r="M1151" t="s">
        <v>149</v>
      </c>
      <c r="N1151" t="s">
        <v>465</v>
      </c>
      <c r="O1151" t="s">
        <v>226</v>
      </c>
      <c r="P1151" t="str">
        <f>"4170063688                    "</f>
        <v xml:space="preserve">4170063688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17.47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2</v>
      </c>
      <c r="BJ1151">
        <v>4.5</v>
      </c>
      <c r="BK1151">
        <v>5</v>
      </c>
      <c r="BL1151">
        <v>55.44</v>
      </c>
      <c r="BM1151">
        <v>8.32</v>
      </c>
      <c r="BN1151">
        <v>63.76</v>
      </c>
      <c r="BO1151">
        <v>63.76</v>
      </c>
      <c r="BQ1151" t="s">
        <v>466</v>
      </c>
      <c r="BR1151" t="s">
        <v>97</v>
      </c>
      <c r="BS1151" s="3">
        <v>45940</v>
      </c>
      <c r="BT1151" s="4">
        <v>0.40277777777777779</v>
      </c>
      <c r="BU1151" t="s">
        <v>1536</v>
      </c>
      <c r="BV1151" t="s">
        <v>86</v>
      </c>
      <c r="BY1151">
        <v>22550</v>
      </c>
      <c r="CA1151" t="s">
        <v>519</v>
      </c>
      <c r="CC1151" t="s">
        <v>149</v>
      </c>
      <c r="CD1151">
        <v>2094</v>
      </c>
      <c r="CE1151" t="s">
        <v>107</v>
      </c>
      <c r="CF1151" s="3">
        <v>45940</v>
      </c>
      <c r="CI1151">
        <v>1</v>
      </c>
      <c r="CJ1151">
        <v>1</v>
      </c>
      <c r="CK1151">
        <v>32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"080068418502"</f>
        <v>080068418502</v>
      </c>
      <c r="F1152" s="3">
        <v>45939</v>
      </c>
      <c r="G1152">
        <v>202607</v>
      </c>
      <c r="H1152" t="s">
        <v>79</v>
      </c>
      <c r="I1152" t="s">
        <v>80</v>
      </c>
      <c r="J1152" t="s">
        <v>91</v>
      </c>
      <c r="K1152" t="s">
        <v>78</v>
      </c>
      <c r="L1152" t="s">
        <v>446</v>
      </c>
      <c r="M1152" t="s">
        <v>447</v>
      </c>
      <c r="N1152" t="s">
        <v>448</v>
      </c>
      <c r="O1152" t="s">
        <v>82</v>
      </c>
      <c r="P1152" t="str">
        <f>"4170063746                    "</f>
        <v xml:space="preserve">4170063746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43.31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1.7</v>
      </c>
      <c r="BK1152">
        <v>2</v>
      </c>
      <c r="BL1152">
        <v>137.47</v>
      </c>
      <c r="BM1152">
        <v>20.62</v>
      </c>
      <c r="BN1152">
        <v>158.09</v>
      </c>
      <c r="BO1152">
        <v>158.09</v>
      </c>
      <c r="BQ1152" t="s">
        <v>449</v>
      </c>
      <c r="BR1152" t="s">
        <v>97</v>
      </c>
      <c r="BS1152" s="3">
        <v>45940</v>
      </c>
      <c r="BT1152" s="4">
        <v>0.46180555555555558</v>
      </c>
      <c r="BU1152" t="s">
        <v>450</v>
      </c>
      <c r="BV1152" t="s">
        <v>86</v>
      </c>
      <c r="BY1152">
        <v>8512</v>
      </c>
      <c r="CA1152" t="s">
        <v>1124</v>
      </c>
      <c r="CC1152" t="s">
        <v>447</v>
      </c>
      <c r="CD1152">
        <v>7130</v>
      </c>
      <c r="CE1152" t="s">
        <v>191</v>
      </c>
      <c r="CF1152" s="3">
        <v>45943</v>
      </c>
      <c r="CI1152">
        <v>1</v>
      </c>
      <c r="CJ1152">
        <v>1</v>
      </c>
      <c r="CK1152">
        <v>23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"080068418532"</f>
        <v>080068418532</v>
      </c>
      <c r="F1153" s="3">
        <v>45939</v>
      </c>
      <c r="G1153">
        <v>202607</v>
      </c>
      <c r="H1153" t="s">
        <v>79</v>
      </c>
      <c r="I1153" t="s">
        <v>80</v>
      </c>
      <c r="J1153" t="s">
        <v>91</v>
      </c>
      <c r="K1153" t="s">
        <v>78</v>
      </c>
      <c r="L1153" t="s">
        <v>453</v>
      </c>
      <c r="M1153" t="s">
        <v>454</v>
      </c>
      <c r="N1153" t="s">
        <v>665</v>
      </c>
      <c r="O1153" t="s">
        <v>82</v>
      </c>
      <c r="P1153" t="str">
        <f>"4170063753                    "</f>
        <v xml:space="preserve">4170063753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22.36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0.6</v>
      </c>
      <c r="BK1153">
        <v>1</v>
      </c>
      <c r="BL1153">
        <v>70.959999999999994</v>
      </c>
      <c r="BM1153">
        <v>10.64</v>
      </c>
      <c r="BN1153">
        <v>81.599999999999994</v>
      </c>
      <c r="BO1153">
        <v>81.599999999999994</v>
      </c>
      <c r="BQ1153" t="s">
        <v>666</v>
      </c>
      <c r="BR1153" t="s">
        <v>97</v>
      </c>
      <c r="BS1153" s="3">
        <v>45940</v>
      </c>
      <c r="BT1153" s="4">
        <v>0.51597222222222228</v>
      </c>
      <c r="BU1153" t="s">
        <v>1916</v>
      </c>
      <c r="BV1153" t="s">
        <v>86</v>
      </c>
      <c r="BY1153">
        <v>3192</v>
      </c>
      <c r="CA1153" t="s">
        <v>742</v>
      </c>
      <c r="CC1153" t="s">
        <v>454</v>
      </c>
      <c r="CD1153">
        <v>3610</v>
      </c>
      <c r="CE1153" t="s">
        <v>191</v>
      </c>
      <c r="CF1153" s="3">
        <v>45941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"080068419548"</f>
        <v>080068419548</v>
      </c>
      <c r="F1154" s="3">
        <v>45939</v>
      </c>
      <c r="G1154">
        <v>202607</v>
      </c>
      <c r="H1154" t="s">
        <v>79</v>
      </c>
      <c r="I1154" t="s">
        <v>80</v>
      </c>
      <c r="J1154" t="s">
        <v>91</v>
      </c>
      <c r="K1154" t="s">
        <v>78</v>
      </c>
      <c r="L1154" t="s">
        <v>453</v>
      </c>
      <c r="M1154" t="s">
        <v>454</v>
      </c>
      <c r="N1154" t="s">
        <v>845</v>
      </c>
      <c r="O1154" t="s">
        <v>82</v>
      </c>
      <c r="P1154" t="str">
        <f>"4170063773                    "</f>
        <v xml:space="preserve">4170063773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22.36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70.959999999999994</v>
      </c>
      <c r="BM1154">
        <v>10.64</v>
      </c>
      <c r="BN1154">
        <v>81.599999999999994</v>
      </c>
      <c r="BO1154">
        <v>81.599999999999994</v>
      </c>
      <c r="BQ1154" t="s">
        <v>846</v>
      </c>
      <c r="BR1154" t="s">
        <v>97</v>
      </c>
      <c r="BS1154" s="3">
        <v>45940</v>
      </c>
      <c r="BT1154" s="4">
        <v>0.44097222222222221</v>
      </c>
      <c r="BU1154" t="s">
        <v>847</v>
      </c>
      <c r="BV1154" t="s">
        <v>86</v>
      </c>
      <c r="BY1154">
        <v>1200</v>
      </c>
      <c r="CA1154" t="s">
        <v>848</v>
      </c>
      <c r="CC1154" t="s">
        <v>454</v>
      </c>
      <c r="CD1154">
        <v>3610</v>
      </c>
      <c r="CE1154" t="s">
        <v>147</v>
      </c>
      <c r="CF1154" s="3">
        <v>45941</v>
      </c>
      <c r="CI1154">
        <v>1</v>
      </c>
      <c r="CJ1154">
        <v>1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"080068419551"</f>
        <v>080068419551</v>
      </c>
      <c r="F1155" s="3">
        <v>45939</v>
      </c>
      <c r="G1155">
        <v>202607</v>
      </c>
      <c r="H1155" t="s">
        <v>79</v>
      </c>
      <c r="I1155" t="s">
        <v>80</v>
      </c>
      <c r="J1155" t="s">
        <v>91</v>
      </c>
      <c r="K1155" t="s">
        <v>78</v>
      </c>
      <c r="L1155" t="s">
        <v>121</v>
      </c>
      <c r="M1155" t="s">
        <v>122</v>
      </c>
      <c r="N1155" t="s">
        <v>123</v>
      </c>
      <c r="O1155" t="s">
        <v>82</v>
      </c>
      <c r="P1155" t="str">
        <f>"4170063760                    "</f>
        <v xml:space="preserve">4170063760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212.23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19</v>
      </c>
      <c r="BJ1155">
        <v>8.9</v>
      </c>
      <c r="BK1155">
        <v>19</v>
      </c>
      <c r="BL1155">
        <v>673.59</v>
      </c>
      <c r="BM1155">
        <v>101.04</v>
      </c>
      <c r="BN1155">
        <v>774.63</v>
      </c>
      <c r="BO1155">
        <v>774.63</v>
      </c>
      <c r="BQ1155" t="s">
        <v>124</v>
      </c>
      <c r="BR1155" t="s">
        <v>97</v>
      </c>
      <c r="BS1155" s="3">
        <v>45940</v>
      </c>
      <c r="BT1155" s="4">
        <v>0.35694444444444445</v>
      </c>
      <c r="BU1155" t="s">
        <v>201</v>
      </c>
      <c r="BV1155" t="s">
        <v>86</v>
      </c>
      <c r="BY1155">
        <v>44640</v>
      </c>
      <c r="CA1155" t="s">
        <v>126</v>
      </c>
      <c r="CC1155" t="s">
        <v>122</v>
      </c>
      <c r="CD1155">
        <v>4051</v>
      </c>
      <c r="CE1155" t="s">
        <v>191</v>
      </c>
      <c r="CF1155" s="3">
        <v>45940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"080068419563"</f>
        <v>080068419563</v>
      </c>
      <c r="F1156" s="3">
        <v>45939</v>
      </c>
      <c r="G1156">
        <v>202607</v>
      </c>
      <c r="H1156" t="s">
        <v>79</v>
      </c>
      <c r="I1156" t="s">
        <v>80</v>
      </c>
      <c r="J1156" t="s">
        <v>91</v>
      </c>
      <c r="K1156" t="s">
        <v>78</v>
      </c>
      <c r="L1156" t="s">
        <v>322</v>
      </c>
      <c r="M1156" t="s">
        <v>322</v>
      </c>
      <c r="N1156" t="s">
        <v>483</v>
      </c>
      <c r="O1156" t="s">
        <v>82</v>
      </c>
      <c r="P1156" t="str">
        <f>"4170063768                    "</f>
        <v xml:space="preserve">4170063768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43.31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137.47</v>
      </c>
      <c r="BM1156">
        <v>20.62</v>
      </c>
      <c r="BN1156">
        <v>158.09</v>
      </c>
      <c r="BO1156">
        <v>158.09</v>
      </c>
      <c r="BQ1156" t="s">
        <v>486</v>
      </c>
      <c r="BR1156" t="s">
        <v>97</v>
      </c>
      <c r="BS1156" s="3">
        <v>45940</v>
      </c>
      <c r="BT1156" s="4">
        <v>0.47708333333333336</v>
      </c>
      <c r="BU1156" t="s">
        <v>1804</v>
      </c>
      <c r="BV1156" t="s">
        <v>86</v>
      </c>
      <c r="BY1156">
        <v>1200</v>
      </c>
      <c r="CA1156" t="s">
        <v>1917</v>
      </c>
      <c r="CC1156" t="s">
        <v>322</v>
      </c>
      <c r="CD1156">
        <v>7646</v>
      </c>
      <c r="CE1156" t="s">
        <v>147</v>
      </c>
      <c r="CF1156" s="3">
        <v>45943</v>
      </c>
      <c r="CI1156">
        <v>1</v>
      </c>
      <c r="CJ1156">
        <v>1</v>
      </c>
      <c r="CK1156">
        <v>23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"080068419573"</f>
        <v>080068419573</v>
      </c>
      <c r="F1157" s="3">
        <v>45939</v>
      </c>
      <c r="G1157">
        <v>202607</v>
      </c>
      <c r="H1157" t="s">
        <v>79</v>
      </c>
      <c r="I1157" t="s">
        <v>80</v>
      </c>
      <c r="J1157" t="s">
        <v>91</v>
      </c>
      <c r="K1157" t="s">
        <v>78</v>
      </c>
      <c r="L1157" t="s">
        <v>79</v>
      </c>
      <c r="M1157" t="s">
        <v>80</v>
      </c>
      <c r="N1157" t="s">
        <v>577</v>
      </c>
      <c r="O1157" t="s">
        <v>226</v>
      </c>
      <c r="P1157" t="str">
        <f>"4170063762                    "</f>
        <v xml:space="preserve">4170063762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17.47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5</v>
      </c>
      <c r="BJ1157">
        <v>3.8</v>
      </c>
      <c r="BK1157">
        <v>5</v>
      </c>
      <c r="BL1157">
        <v>55.44</v>
      </c>
      <c r="BM1157">
        <v>8.32</v>
      </c>
      <c r="BN1157">
        <v>63.76</v>
      </c>
      <c r="BO1157">
        <v>63.76</v>
      </c>
      <c r="BQ1157" t="s">
        <v>578</v>
      </c>
      <c r="BR1157" t="s">
        <v>97</v>
      </c>
      <c r="BS1157" s="3">
        <v>45940</v>
      </c>
      <c r="BT1157" s="4">
        <v>0.4</v>
      </c>
      <c r="BU1157" t="s">
        <v>579</v>
      </c>
      <c r="BV1157" t="s">
        <v>86</v>
      </c>
      <c r="BY1157">
        <v>19227</v>
      </c>
      <c r="CA1157" t="s">
        <v>580</v>
      </c>
      <c r="CC1157" t="s">
        <v>80</v>
      </c>
      <c r="CD1157">
        <v>1619</v>
      </c>
      <c r="CE1157" t="s">
        <v>191</v>
      </c>
      <c r="CF1157" s="3">
        <v>45941</v>
      </c>
      <c r="CI1157">
        <v>1</v>
      </c>
      <c r="CJ1157">
        <v>1</v>
      </c>
      <c r="CK1157">
        <v>32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"080068419575"</f>
        <v>080068419575</v>
      </c>
      <c r="F1158" s="3">
        <v>45939</v>
      </c>
      <c r="G1158">
        <v>202607</v>
      </c>
      <c r="H1158" t="s">
        <v>79</v>
      </c>
      <c r="I1158" t="s">
        <v>80</v>
      </c>
      <c r="J1158" t="s">
        <v>91</v>
      </c>
      <c r="K1158" t="s">
        <v>78</v>
      </c>
      <c r="L1158" t="s">
        <v>206</v>
      </c>
      <c r="M1158" t="s">
        <v>207</v>
      </c>
      <c r="N1158" t="s">
        <v>656</v>
      </c>
      <c r="O1158" t="s">
        <v>82</v>
      </c>
      <c r="P1158" t="str">
        <f>"4170063777                    "</f>
        <v xml:space="preserve">4170063777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22.36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70.959999999999994</v>
      </c>
      <c r="BM1158">
        <v>10.64</v>
      </c>
      <c r="BN1158">
        <v>81.599999999999994</v>
      </c>
      <c r="BO1158">
        <v>81.599999999999994</v>
      </c>
      <c r="BQ1158" t="s">
        <v>657</v>
      </c>
      <c r="BR1158" t="s">
        <v>97</v>
      </c>
      <c r="BS1158" s="3">
        <v>45940</v>
      </c>
      <c r="BT1158" s="4">
        <v>0.3888888888888889</v>
      </c>
      <c r="BU1158" t="s">
        <v>658</v>
      </c>
      <c r="BV1158" t="s">
        <v>86</v>
      </c>
      <c r="BY1158">
        <v>1200</v>
      </c>
      <c r="CA1158" t="s">
        <v>211</v>
      </c>
      <c r="CC1158" t="s">
        <v>207</v>
      </c>
      <c r="CD1158">
        <v>7441</v>
      </c>
      <c r="CE1158" t="s">
        <v>147</v>
      </c>
      <c r="CF1158" s="3">
        <v>45943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"080068420476"</f>
        <v>080068420476</v>
      </c>
      <c r="F1159" s="3">
        <v>45939</v>
      </c>
      <c r="G1159">
        <v>202607</v>
      </c>
      <c r="H1159" t="s">
        <v>79</v>
      </c>
      <c r="I1159" t="s">
        <v>80</v>
      </c>
      <c r="J1159" t="s">
        <v>91</v>
      </c>
      <c r="K1159" t="s">
        <v>78</v>
      </c>
      <c r="L1159" t="s">
        <v>121</v>
      </c>
      <c r="M1159" t="s">
        <v>122</v>
      </c>
      <c r="N1159" t="s">
        <v>123</v>
      </c>
      <c r="O1159" t="s">
        <v>82</v>
      </c>
      <c r="P1159" t="str">
        <f>"4170063778                    "</f>
        <v xml:space="preserve">4170063778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22.36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1.1000000000000001</v>
      </c>
      <c r="BK1159">
        <v>2</v>
      </c>
      <c r="BL1159">
        <v>70.959999999999994</v>
      </c>
      <c r="BM1159">
        <v>10.64</v>
      </c>
      <c r="BN1159">
        <v>81.599999999999994</v>
      </c>
      <c r="BO1159">
        <v>81.599999999999994</v>
      </c>
      <c r="BQ1159" t="s">
        <v>124</v>
      </c>
      <c r="BR1159" t="s">
        <v>97</v>
      </c>
      <c r="BS1159" s="3">
        <v>45940</v>
      </c>
      <c r="BT1159" s="4">
        <v>0.35694444444444445</v>
      </c>
      <c r="BU1159" t="s">
        <v>201</v>
      </c>
      <c r="BV1159" t="s">
        <v>86</v>
      </c>
      <c r="BY1159">
        <v>5510</v>
      </c>
      <c r="CA1159" t="s">
        <v>126</v>
      </c>
      <c r="CC1159" t="s">
        <v>122</v>
      </c>
      <c r="CD1159">
        <v>4051</v>
      </c>
      <c r="CE1159" t="s">
        <v>191</v>
      </c>
      <c r="CF1159" s="3">
        <v>45940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"080068420520"</f>
        <v>080068420520</v>
      </c>
      <c r="F1160" s="3">
        <v>45939</v>
      </c>
      <c r="G1160">
        <v>202607</v>
      </c>
      <c r="H1160" t="s">
        <v>79</v>
      </c>
      <c r="I1160" t="s">
        <v>80</v>
      </c>
      <c r="J1160" t="s">
        <v>91</v>
      </c>
      <c r="K1160" t="s">
        <v>78</v>
      </c>
      <c r="L1160" t="s">
        <v>121</v>
      </c>
      <c r="M1160" t="s">
        <v>122</v>
      </c>
      <c r="N1160" t="s">
        <v>123</v>
      </c>
      <c r="O1160" t="s">
        <v>95</v>
      </c>
      <c r="P1160" t="str">
        <f>"4170063774                    "</f>
        <v xml:space="preserve">4170063774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66.430000000000007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2</v>
      </c>
      <c r="BI1160">
        <v>28</v>
      </c>
      <c r="BJ1160">
        <v>21.4</v>
      </c>
      <c r="BK1160">
        <v>28</v>
      </c>
      <c r="BL1160">
        <v>216.72</v>
      </c>
      <c r="BM1160">
        <v>32.51</v>
      </c>
      <c r="BN1160">
        <v>249.23</v>
      </c>
      <c r="BO1160">
        <v>249.23</v>
      </c>
      <c r="BQ1160" t="s">
        <v>124</v>
      </c>
      <c r="BR1160" t="s">
        <v>97</v>
      </c>
      <c r="BS1160" s="3">
        <v>45940</v>
      </c>
      <c r="BT1160" s="4">
        <v>0.44166666666666665</v>
      </c>
      <c r="BU1160" t="s">
        <v>201</v>
      </c>
      <c r="BV1160" t="s">
        <v>86</v>
      </c>
      <c r="BY1160">
        <v>106800</v>
      </c>
      <c r="CA1160" t="s">
        <v>202</v>
      </c>
      <c r="CC1160" t="s">
        <v>122</v>
      </c>
      <c r="CD1160">
        <v>4051</v>
      </c>
      <c r="CE1160" t="s">
        <v>191</v>
      </c>
      <c r="CF1160" s="3">
        <v>45940</v>
      </c>
      <c r="CI1160">
        <v>1</v>
      </c>
      <c r="CJ1160">
        <v>1</v>
      </c>
      <c r="CK1160">
        <v>41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"080068420567"</f>
        <v>080068420567</v>
      </c>
      <c r="F1161" s="3">
        <v>45939</v>
      </c>
      <c r="G1161">
        <v>202607</v>
      </c>
      <c r="H1161" t="s">
        <v>79</v>
      </c>
      <c r="I1161" t="s">
        <v>80</v>
      </c>
      <c r="J1161" t="s">
        <v>91</v>
      </c>
      <c r="K1161" t="s">
        <v>78</v>
      </c>
      <c r="L1161" t="s">
        <v>322</v>
      </c>
      <c r="M1161" t="s">
        <v>322</v>
      </c>
      <c r="N1161" t="s">
        <v>481</v>
      </c>
      <c r="O1161" t="s">
        <v>82</v>
      </c>
      <c r="P1161" t="str">
        <f>"4170063775                    "</f>
        <v xml:space="preserve">4170063775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43.31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1.1000000000000001</v>
      </c>
      <c r="BK1161">
        <v>1.5</v>
      </c>
      <c r="BL1161">
        <v>137.47</v>
      </c>
      <c r="BM1161">
        <v>20.62</v>
      </c>
      <c r="BN1161">
        <v>158.09</v>
      </c>
      <c r="BO1161">
        <v>158.09</v>
      </c>
      <c r="BQ1161" t="s">
        <v>482</v>
      </c>
      <c r="BR1161" t="s">
        <v>97</v>
      </c>
      <c r="BS1161" s="3">
        <v>45940</v>
      </c>
      <c r="BT1161" s="4">
        <v>0.48055555555555557</v>
      </c>
      <c r="BU1161" t="s">
        <v>378</v>
      </c>
      <c r="BV1161" t="s">
        <v>86</v>
      </c>
      <c r="BY1161">
        <v>5510</v>
      </c>
      <c r="CA1161" t="s">
        <v>1917</v>
      </c>
      <c r="CC1161" t="s">
        <v>322</v>
      </c>
      <c r="CD1161">
        <v>7646</v>
      </c>
      <c r="CE1161" t="s">
        <v>191</v>
      </c>
      <c r="CF1161" s="3">
        <v>45943</v>
      </c>
      <c r="CI1161">
        <v>1</v>
      </c>
      <c r="CJ1161">
        <v>1</v>
      </c>
      <c r="CK1161">
        <v>23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"080068420599"</f>
        <v>080068420599</v>
      </c>
      <c r="F1162" s="3">
        <v>45939</v>
      </c>
      <c r="G1162">
        <v>202607</v>
      </c>
      <c r="H1162" t="s">
        <v>79</v>
      </c>
      <c r="I1162" t="s">
        <v>80</v>
      </c>
      <c r="J1162" t="s">
        <v>91</v>
      </c>
      <c r="K1162" t="s">
        <v>78</v>
      </c>
      <c r="L1162" t="s">
        <v>148</v>
      </c>
      <c r="M1162" t="s">
        <v>149</v>
      </c>
      <c r="N1162" t="s">
        <v>869</v>
      </c>
      <c r="O1162" t="s">
        <v>82</v>
      </c>
      <c r="P1162" t="str">
        <f>"4170063786                    "</f>
        <v xml:space="preserve">4170063786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17.46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55.42</v>
      </c>
      <c r="BM1162">
        <v>8.31</v>
      </c>
      <c r="BN1162">
        <v>63.73</v>
      </c>
      <c r="BO1162">
        <v>63.73</v>
      </c>
      <c r="BQ1162" t="s">
        <v>870</v>
      </c>
      <c r="BR1162" t="s">
        <v>97</v>
      </c>
      <c r="BS1162" s="3">
        <v>45940</v>
      </c>
      <c r="BT1162" s="4">
        <v>0.43472222222222223</v>
      </c>
      <c r="BU1162" t="s">
        <v>1867</v>
      </c>
      <c r="BV1162" t="s">
        <v>86</v>
      </c>
      <c r="BY1162">
        <v>1200</v>
      </c>
      <c r="CA1162" t="s">
        <v>1868</v>
      </c>
      <c r="CC1162" t="s">
        <v>149</v>
      </c>
      <c r="CD1162">
        <v>2092</v>
      </c>
      <c r="CE1162" t="s">
        <v>147</v>
      </c>
      <c r="CF1162" s="3">
        <v>45941</v>
      </c>
      <c r="CI1162">
        <v>1</v>
      </c>
      <c r="CJ1162">
        <v>1</v>
      </c>
      <c r="CK1162">
        <v>22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"080068420773"</f>
        <v>080068420773</v>
      </c>
      <c r="F1163" s="3">
        <v>45939</v>
      </c>
      <c r="G1163">
        <v>202607</v>
      </c>
      <c r="H1163" t="s">
        <v>79</v>
      </c>
      <c r="I1163" t="s">
        <v>80</v>
      </c>
      <c r="J1163" t="s">
        <v>91</v>
      </c>
      <c r="K1163" t="s">
        <v>78</v>
      </c>
      <c r="L1163" t="s">
        <v>121</v>
      </c>
      <c r="M1163" t="s">
        <v>122</v>
      </c>
      <c r="N1163" t="s">
        <v>123</v>
      </c>
      <c r="O1163" t="s">
        <v>82</v>
      </c>
      <c r="P1163" t="str">
        <f>"4170063776                    "</f>
        <v xml:space="preserve">4170063776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44.69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4</v>
      </c>
      <c r="BJ1163">
        <v>1.1000000000000001</v>
      </c>
      <c r="BK1163">
        <v>4</v>
      </c>
      <c r="BL1163">
        <v>141.85</v>
      </c>
      <c r="BM1163">
        <v>21.28</v>
      </c>
      <c r="BN1163">
        <v>163.13</v>
      </c>
      <c r="BO1163">
        <v>163.13</v>
      </c>
      <c r="BQ1163" t="s">
        <v>124</v>
      </c>
      <c r="BR1163" t="s">
        <v>97</v>
      </c>
      <c r="BS1163" s="3">
        <v>45940</v>
      </c>
      <c r="BT1163" s="4">
        <v>0.35694444444444445</v>
      </c>
      <c r="BU1163" t="s">
        <v>201</v>
      </c>
      <c r="BV1163" t="s">
        <v>86</v>
      </c>
      <c r="BY1163">
        <v>5320</v>
      </c>
      <c r="CA1163" t="s">
        <v>126</v>
      </c>
      <c r="CC1163" t="s">
        <v>122</v>
      </c>
      <c r="CD1163">
        <v>4051</v>
      </c>
      <c r="CE1163" t="s">
        <v>191</v>
      </c>
      <c r="CF1163" s="3">
        <v>45940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"080068420811"</f>
        <v>080068420811</v>
      </c>
      <c r="F1164" s="3">
        <v>45939</v>
      </c>
      <c r="G1164">
        <v>202607</v>
      </c>
      <c r="H1164" t="s">
        <v>79</v>
      </c>
      <c r="I1164" t="s">
        <v>80</v>
      </c>
      <c r="J1164" t="s">
        <v>91</v>
      </c>
      <c r="K1164" t="s">
        <v>78</v>
      </c>
      <c r="L1164" t="s">
        <v>1586</v>
      </c>
      <c r="M1164" t="s">
        <v>1587</v>
      </c>
      <c r="N1164" t="s">
        <v>1588</v>
      </c>
      <c r="O1164" t="s">
        <v>82</v>
      </c>
      <c r="P1164" t="str">
        <f>"4170063789                    "</f>
        <v xml:space="preserve">4170063789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22.36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70.959999999999994</v>
      </c>
      <c r="BM1164">
        <v>10.64</v>
      </c>
      <c r="BN1164">
        <v>81.599999999999994</v>
      </c>
      <c r="BO1164">
        <v>81.599999999999994</v>
      </c>
      <c r="BQ1164" t="s">
        <v>1589</v>
      </c>
      <c r="BR1164" t="s">
        <v>97</v>
      </c>
      <c r="BS1164" s="3">
        <v>45940</v>
      </c>
      <c r="BT1164" s="4">
        <v>0.7055555555555556</v>
      </c>
      <c r="BU1164" t="s">
        <v>1918</v>
      </c>
      <c r="BV1164" t="s">
        <v>90</v>
      </c>
      <c r="BW1164" t="s">
        <v>136</v>
      </c>
      <c r="BX1164" t="s">
        <v>787</v>
      </c>
      <c r="BY1164">
        <v>1200</v>
      </c>
      <c r="CA1164" t="s">
        <v>1591</v>
      </c>
      <c r="CC1164" t="s">
        <v>1587</v>
      </c>
      <c r="CD1164">
        <v>4302</v>
      </c>
      <c r="CE1164" t="s">
        <v>147</v>
      </c>
      <c r="CF1164" s="3">
        <v>45940</v>
      </c>
      <c r="CI1164">
        <v>1</v>
      </c>
      <c r="CJ1164">
        <v>1</v>
      </c>
      <c r="CK1164">
        <v>21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"080068420834"</f>
        <v>080068420834</v>
      </c>
      <c r="F1165" s="3">
        <v>45939</v>
      </c>
      <c r="G1165">
        <v>202607</v>
      </c>
      <c r="H1165" t="s">
        <v>79</v>
      </c>
      <c r="I1165" t="s">
        <v>80</v>
      </c>
      <c r="J1165" t="s">
        <v>91</v>
      </c>
      <c r="K1165" t="s">
        <v>78</v>
      </c>
      <c r="L1165" t="s">
        <v>92</v>
      </c>
      <c r="M1165" t="s">
        <v>93</v>
      </c>
      <c r="N1165" t="s">
        <v>552</v>
      </c>
      <c r="O1165" t="s">
        <v>82</v>
      </c>
      <c r="P1165" t="str">
        <f>"4170063791                    "</f>
        <v xml:space="preserve">4170063791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22.36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70.959999999999994</v>
      </c>
      <c r="BM1165">
        <v>10.64</v>
      </c>
      <c r="BN1165">
        <v>81.599999999999994</v>
      </c>
      <c r="BO1165">
        <v>81.599999999999994</v>
      </c>
      <c r="BQ1165" t="s">
        <v>553</v>
      </c>
      <c r="BR1165" t="s">
        <v>97</v>
      </c>
      <c r="BS1165" s="3">
        <v>45940</v>
      </c>
      <c r="BT1165" s="4">
        <v>0.4375</v>
      </c>
      <c r="BU1165" t="s">
        <v>1140</v>
      </c>
      <c r="BV1165" t="s">
        <v>86</v>
      </c>
      <c r="BY1165">
        <v>1200</v>
      </c>
      <c r="CA1165" t="s">
        <v>1141</v>
      </c>
      <c r="CC1165" t="s">
        <v>93</v>
      </c>
      <c r="CD1165">
        <v>3201</v>
      </c>
      <c r="CE1165" t="s">
        <v>147</v>
      </c>
      <c r="CF1165" s="3">
        <v>45941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"080011644169"</f>
        <v>080011644169</v>
      </c>
      <c r="F1166" s="3">
        <v>45939</v>
      </c>
      <c r="G1166">
        <v>202607</v>
      </c>
      <c r="H1166" t="s">
        <v>168</v>
      </c>
      <c r="I1166" t="s">
        <v>169</v>
      </c>
      <c r="J1166" t="s">
        <v>1919</v>
      </c>
      <c r="K1166" t="s">
        <v>78</v>
      </c>
      <c r="L1166" t="s">
        <v>79</v>
      </c>
      <c r="M1166" t="s">
        <v>80</v>
      </c>
      <c r="N1166" t="s">
        <v>81</v>
      </c>
      <c r="O1166" t="s">
        <v>82</v>
      </c>
      <c r="P1166" t="str">
        <f>"Za1001417864                  "</f>
        <v xml:space="preserve">Za1001417864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22.36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70.959999999999994</v>
      </c>
      <c r="BM1166">
        <v>10.64</v>
      </c>
      <c r="BN1166">
        <v>81.599999999999994</v>
      </c>
      <c r="BO1166">
        <v>81.599999999999994</v>
      </c>
      <c r="BQ1166" t="s">
        <v>83</v>
      </c>
      <c r="BR1166" t="s">
        <v>1920</v>
      </c>
      <c r="BS1166" s="3">
        <v>45943</v>
      </c>
      <c r="BT1166" s="4">
        <v>0.43402777777777779</v>
      </c>
      <c r="BU1166" t="s">
        <v>1921</v>
      </c>
      <c r="BV1166" t="s">
        <v>90</v>
      </c>
      <c r="BW1166" t="s">
        <v>188</v>
      </c>
      <c r="BX1166" t="s">
        <v>1922</v>
      </c>
      <c r="BY1166">
        <v>1200</v>
      </c>
      <c r="BZ1166" t="s">
        <v>87</v>
      </c>
      <c r="CA1166" t="s">
        <v>88</v>
      </c>
      <c r="CC1166" t="s">
        <v>80</v>
      </c>
      <c r="CD1166">
        <v>1619</v>
      </c>
      <c r="CE1166" t="s">
        <v>89</v>
      </c>
      <c r="CF1166" s="3">
        <v>45943</v>
      </c>
      <c r="CI1166">
        <v>1</v>
      </c>
      <c r="CJ1166">
        <v>2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"080068421470"</f>
        <v>080068421470</v>
      </c>
      <c r="F1167" s="3">
        <v>45939</v>
      </c>
      <c r="G1167">
        <v>202607</v>
      </c>
      <c r="H1167" t="s">
        <v>79</v>
      </c>
      <c r="I1167" t="s">
        <v>80</v>
      </c>
      <c r="J1167" t="s">
        <v>91</v>
      </c>
      <c r="K1167" t="s">
        <v>78</v>
      </c>
      <c r="L1167" t="s">
        <v>206</v>
      </c>
      <c r="M1167" t="s">
        <v>207</v>
      </c>
      <c r="N1167" t="s">
        <v>427</v>
      </c>
      <c r="O1167" t="s">
        <v>82</v>
      </c>
      <c r="P1167" t="str">
        <f>"4170063790                    "</f>
        <v xml:space="preserve">4170063790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78.2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7</v>
      </c>
      <c r="BJ1167">
        <v>3.4</v>
      </c>
      <c r="BK1167">
        <v>7</v>
      </c>
      <c r="BL1167">
        <v>248.2</v>
      </c>
      <c r="BM1167">
        <v>37.229999999999997</v>
      </c>
      <c r="BN1167">
        <v>285.43</v>
      </c>
      <c r="BO1167">
        <v>285.43</v>
      </c>
      <c r="BQ1167" t="s">
        <v>428</v>
      </c>
      <c r="BR1167" t="s">
        <v>97</v>
      </c>
      <c r="BS1167" s="3">
        <v>45940</v>
      </c>
      <c r="BT1167" s="4">
        <v>0.35486111111111113</v>
      </c>
      <c r="BU1167" t="s">
        <v>1832</v>
      </c>
      <c r="BV1167" t="s">
        <v>86</v>
      </c>
      <c r="BY1167">
        <v>16965</v>
      </c>
      <c r="CA1167" t="s">
        <v>423</v>
      </c>
      <c r="CC1167" t="s">
        <v>207</v>
      </c>
      <c r="CD1167">
        <v>7530</v>
      </c>
      <c r="CE1167" t="s">
        <v>191</v>
      </c>
      <c r="CF1167" s="3">
        <v>45943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"080068421509"</f>
        <v>080068421509</v>
      </c>
      <c r="F1168" s="3">
        <v>45939</v>
      </c>
      <c r="G1168">
        <v>202607</v>
      </c>
      <c r="H1168" t="s">
        <v>79</v>
      </c>
      <c r="I1168" t="s">
        <v>80</v>
      </c>
      <c r="J1168" t="s">
        <v>91</v>
      </c>
      <c r="K1168" t="s">
        <v>78</v>
      </c>
      <c r="L1168" t="s">
        <v>79</v>
      </c>
      <c r="M1168" t="s">
        <v>80</v>
      </c>
      <c r="N1168" t="s">
        <v>628</v>
      </c>
      <c r="O1168" t="s">
        <v>82</v>
      </c>
      <c r="P1168" t="str">
        <f>"4170063788                    "</f>
        <v xml:space="preserve">4170063788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17.46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1.9</v>
      </c>
      <c r="BK1168">
        <v>2</v>
      </c>
      <c r="BL1168">
        <v>55.42</v>
      </c>
      <c r="BM1168">
        <v>8.31</v>
      </c>
      <c r="BN1168">
        <v>63.73</v>
      </c>
      <c r="BO1168">
        <v>63.73</v>
      </c>
      <c r="BQ1168" t="s">
        <v>629</v>
      </c>
      <c r="BR1168" t="s">
        <v>97</v>
      </c>
      <c r="BS1168" s="3">
        <v>45940</v>
      </c>
      <c r="BT1168" s="4">
        <v>0.4201388888888889</v>
      </c>
      <c r="BU1168" t="s">
        <v>1670</v>
      </c>
      <c r="BV1168" t="s">
        <v>86</v>
      </c>
      <c r="BY1168">
        <v>9367</v>
      </c>
      <c r="CA1168" t="s">
        <v>88</v>
      </c>
      <c r="CC1168" t="s">
        <v>80</v>
      </c>
      <c r="CD1168">
        <v>1601</v>
      </c>
      <c r="CE1168" t="s">
        <v>191</v>
      </c>
      <c r="CF1168" s="3">
        <v>45940</v>
      </c>
      <c r="CI1168">
        <v>1</v>
      </c>
      <c r="CJ1168">
        <v>1</v>
      </c>
      <c r="CK1168">
        <v>22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"080068421546"</f>
        <v>080068421546</v>
      </c>
      <c r="F1169" s="3">
        <v>45939</v>
      </c>
      <c r="G1169">
        <v>202607</v>
      </c>
      <c r="H1169" t="s">
        <v>79</v>
      </c>
      <c r="I1169" t="s">
        <v>80</v>
      </c>
      <c r="J1169" t="s">
        <v>91</v>
      </c>
      <c r="K1169" t="s">
        <v>78</v>
      </c>
      <c r="L1169" t="s">
        <v>108</v>
      </c>
      <c r="M1169" t="s">
        <v>109</v>
      </c>
      <c r="N1169" t="s">
        <v>556</v>
      </c>
      <c r="O1169" t="s">
        <v>82</v>
      </c>
      <c r="P1169" t="str">
        <f>"4170063781                    "</f>
        <v xml:space="preserve">4170063781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22.36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70.959999999999994</v>
      </c>
      <c r="BM1169">
        <v>10.64</v>
      </c>
      <c r="BN1169">
        <v>81.599999999999994</v>
      </c>
      <c r="BO1169">
        <v>81.599999999999994</v>
      </c>
      <c r="BQ1169" t="s">
        <v>557</v>
      </c>
      <c r="BR1169" t="s">
        <v>97</v>
      </c>
      <c r="BS1169" s="3">
        <v>45940</v>
      </c>
      <c r="BT1169" s="4">
        <v>0.6166666666666667</v>
      </c>
      <c r="BU1169" t="s">
        <v>1923</v>
      </c>
      <c r="BV1169" t="s">
        <v>90</v>
      </c>
      <c r="BW1169" t="s">
        <v>136</v>
      </c>
      <c r="BX1169" t="s">
        <v>338</v>
      </c>
      <c r="BY1169">
        <v>1200</v>
      </c>
      <c r="CA1169" t="s">
        <v>559</v>
      </c>
      <c r="CC1169" t="s">
        <v>109</v>
      </c>
      <c r="CD1169">
        <v>6001</v>
      </c>
      <c r="CE1169" t="s">
        <v>147</v>
      </c>
      <c r="CF1169" s="3">
        <v>45940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"080068421721"</f>
        <v>080068421721</v>
      </c>
      <c r="F1170" s="3">
        <v>45939</v>
      </c>
      <c r="G1170">
        <v>202607</v>
      </c>
      <c r="H1170" t="s">
        <v>79</v>
      </c>
      <c r="I1170" t="s">
        <v>80</v>
      </c>
      <c r="J1170" t="s">
        <v>91</v>
      </c>
      <c r="K1170" t="s">
        <v>78</v>
      </c>
      <c r="L1170" t="s">
        <v>206</v>
      </c>
      <c r="M1170" t="s">
        <v>207</v>
      </c>
      <c r="N1170" t="s">
        <v>427</v>
      </c>
      <c r="O1170" t="s">
        <v>82</v>
      </c>
      <c r="P1170" t="str">
        <f>"4170063793                    "</f>
        <v xml:space="preserve">4170063793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134.04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2</v>
      </c>
      <c r="BI1170">
        <v>9</v>
      </c>
      <c r="BJ1170">
        <v>11.8</v>
      </c>
      <c r="BK1170">
        <v>12</v>
      </c>
      <c r="BL1170">
        <v>425.44</v>
      </c>
      <c r="BM1170">
        <v>63.82</v>
      </c>
      <c r="BN1170">
        <v>489.26</v>
      </c>
      <c r="BO1170">
        <v>489.26</v>
      </c>
      <c r="BQ1170" t="s">
        <v>428</v>
      </c>
      <c r="BR1170" t="s">
        <v>97</v>
      </c>
      <c r="BS1170" s="3">
        <v>45940</v>
      </c>
      <c r="BT1170" s="4">
        <v>0.35486111111111113</v>
      </c>
      <c r="BU1170" t="s">
        <v>1832</v>
      </c>
      <c r="BV1170" t="s">
        <v>86</v>
      </c>
      <c r="BY1170">
        <v>58842</v>
      </c>
      <c r="CA1170" t="s">
        <v>423</v>
      </c>
      <c r="CC1170" t="s">
        <v>207</v>
      </c>
      <c r="CD1170">
        <v>7530</v>
      </c>
      <c r="CE1170" t="s">
        <v>107</v>
      </c>
      <c r="CF1170" s="3">
        <v>45943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"080068421760"</f>
        <v>080068421760</v>
      </c>
      <c r="F1171" s="3">
        <v>45939</v>
      </c>
      <c r="G1171">
        <v>202607</v>
      </c>
      <c r="H1171" t="s">
        <v>79</v>
      </c>
      <c r="I1171" t="s">
        <v>80</v>
      </c>
      <c r="J1171" t="s">
        <v>91</v>
      </c>
      <c r="K1171" t="s">
        <v>78</v>
      </c>
      <c r="L1171" t="s">
        <v>121</v>
      </c>
      <c r="M1171" t="s">
        <v>122</v>
      </c>
      <c r="N1171" t="s">
        <v>123</v>
      </c>
      <c r="O1171" t="s">
        <v>82</v>
      </c>
      <c r="P1171" t="str">
        <f>"4170063795                    "</f>
        <v xml:space="preserve">4170063795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22.36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0.6</v>
      </c>
      <c r="BK1171">
        <v>1</v>
      </c>
      <c r="BL1171">
        <v>70.959999999999994</v>
      </c>
      <c r="BM1171">
        <v>10.64</v>
      </c>
      <c r="BN1171">
        <v>81.599999999999994</v>
      </c>
      <c r="BO1171">
        <v>81.599999999999994</v>
      </c>
      <c r="BQ1171" t="s">
        <v>124</v>
      </c>
      <c r="BR1171" t="s">
        <v>97</v>
      </c>
      <c r="BS1171" s="3">
        <v>45940</v>
      </c>
      <c r="BT1171" s="4">
        <v>0.35694444444444445</v>
      </c>
      <c r="BU1171" t="s">
        <v>201</v>
      </c>
      <c r="BV1171" t="s">
        <v>86</v>
      </c>
      <c r="BY1171">
        <v>3200</v>
      </c>
      <c r="CA1171" t="s">
        <v>126</v>
      </c>
      <c r="CC1171" t="s">
        <v>122</v>
      </c>
      <c r="CD1171">
        <v>4051</v>
      </c>
      <c r="CE1171" t="s">
        <v>107</v>
      </c>
      <c r="CF1171" s="3">
        <v>45940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"080068421906"</f>
        <v>080068421906</v>
      </c>
      <c r="F1172" s="3">
        <v>45939</v>
      </c>
      <c r="G1172">
        <v>202607</v>
      </c>
      <c r="H1172" t="s">
        <v>79</v>
      </c>
      <c r="I1172" t="s">
        <v>80</v>
      </c>
      <c r="J1172" t="s">
        <v>91</v>
      </c>
      <c r="K1172" t="s">
        <v>78</v>
      </c>
      <c r="L1172" t="s">
        <v>446</v>
      </c>
      <c r="M1172" t="s">
        <v>447</v>
      </c>
      <c r="N1172" t="s">
        <v>1924</v>
      </c>
      <c r="O1172" t="s">
        <v>82</v>
      </c>
      <c r="P1172" t="str">
        <f>"4170063798                    "</f>
        <v xml:space="preserve">4170063798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43.31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137.47</v>
      </c>
      <c r="BM1172">
        <v>20.62</v>
      </c>
      <c r="BN1172">
        <v>158.09</v>
      </c>
      <c r="BO1172">
        <v>158.09</v>
      </c>
      <c r="BQ1172" t="s">
        <v>1925</v>
      </c>
      <c r="BR1172" t="s">
        <v>97</v>
      </c>
      <c r="BS1172" s="3">
        <v>45940</v>
      </c>
      <c r="BT1172" s="4">
        <v>0.40972222222222221</v>
      </c>
      <c r="BU1172" t="s">
        <v>1926</v>
      </c>
      <c r="BV1172" t="s">
        <v>86</v>
      </c>
      <c r="BY1172">
        <v>1200</v>
      </c>
      <c r="CA1172" t="s">
        <v>1927</v>
      </c>
      <c r="CC1172" t="s">
        <v>447</v>
      </c>
      <c r="CD1172">
        <v>7130</v>
      </c>
      <c r="CE1172" t="s">
        <v>147</v>
      </c>
      <c r="CF1172" s="3">
        <v>45943</v>
      </c>
      <c r="CI1172">
        <v>1</v>
      </c>
      <c r="CJ1172">
        <v>1</v>
      </c>
      <c r="CK1172">
        <v>23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"080068421941"</f>
        <v>080068421941</v>
      </c>
      <c r="F1173" s="3">
        <v>45939</v>
      </c>
      <c r="G1173">
        <v>202607</v>
      </c>
      <c r="H1173" t="s">
        <v>79</v>
      </c>
      <c r="I1173" t="s">
        <v>80</v>
      </c>
      <c r="J1173" t="s">
        <v>91</v>
      </c>
      <c r="K1173" t="s">
        <v>78</v>
      </c>
      <c r="L1173" t="s">
        <v>168</v>
      </c>
      <c r="M1173" t="s">
        <v>169</v>
      </c>
      <c r="N1173" t="s">
        <v>1541</v>
      </c>
      <c r="O1173" t="s">
        <v>95</v>
      </c>
      <c r="P1173" t="str">
        <f>"4170063799                    "</f>
        <v xml:space="preserve">4170063799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43.23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2</v>
      </c>
      <c r="BI1173">
        <v>8</v>
      </c>
      <c r="BJ1173">
        <v>8.9</v>
      </c>
      <c r="BK1173">
        <v>9</v>
      </c>
      <c r="BL1173">
        <v>143.08000000000001</v>
      </c>
      <c r="BM1173">
        <v>21.46</v>
      </c>
      <c r="BN1173">
        <v>164.54</v>
      </c>
      <c r="BO1173">
        <v>164.54</v>
      </c>
      <c r="BQ1173" t="s">
        <v>1542</v>
      </c>
      <c r="BR1173" t="s">
        <v>97</v>
      </c>
      <c r="BS1173" s="3">
        <v>45940</v>
      </c>
      <c r="BT1173" s="4">
        <v>0.40277777777777779</v>
      </c>
      <c r="BU1173" t="s">
        <v>1928</v>
      </c>
      <c r="BV1173" t="s">
        <v>86</v>
      </c>
      <c r="BY1173">
        <v>44440</v>
      </c>
      <c r="CC1173" t="s">
        <v>169</v>
      </c>
      <c r="CD1173" s="5" t="s">
        <v>173</v>
      </c>
      <c r="CE1173" t="s">
        <v>191</v>
      </c>
      <c r="CF1173" s="3">
        <v>45940</v>
      </c>
      <c r="CI1173">
        <v>1</v>
      </c>
      <c r="CJ1173">
        <v>1</v>
      </c>
      <c r="CK1173">
        <v>41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"080068423049"</f>
        <v>080068423049</v>
      </c>
      <c r="F1174" s="3">
        <v>45939</v>
      </c>
      <c r="G1174">
        <v>202607</v>
      </c>
      <c r="H1174" t="s">
        <v>79</v>
      </c>
      <c r="I1174" t="s">
        <v>80</v>
      </c>
      <c r="J1174" t="s">
        <v>91</v>
      </c>
      <c r="K1174" t="s">
        <v>78</v>
      </c>
      <c r="L1174" t="s">
        <v>605</v>
      </c>
      <c r="M1174" t="s">
        <v>606</v>
      </c>
      <c r="N1174" t="s">
        <v>1929</v>
      </c>
      <c r="O1174" t="s">
        <v>95</v>
      </c>
      <c r="P1174" t="str">
        <f>"009943879288                  "</f>
        <v xml:space="preserve">009943879288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260.27999999999997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55</v>
      </c>
      <c r="BJ1174">
        <v>78.3</v>
      </c>
      <c r="BK1174">
        <v>79</v>
      </c>
      <c r="BL1174">
        <v>831.98</v>
      </c>
      <c r="BM1174">
        <v>124.8</v>
      </c>
      <c r="BN1174">
        <v>956.78</v>
      </c>
      <c r="BO1174">
        <v>956.78</v>
      </c>
      <c r="BQ1174" t="s">
        <v>1930</v>
      </c>
      <c r="BR1174" t="s">
        <v>97</v>
      </c>
      <c r="BS1174" s="3">
        <v>45940</v>
      </c>
      <c r="BT1174" s="4">
        <v>0.37986111111111109</v>
      </c>
      <c r="BU1174" t="s">
        <v>1931</v>
      </c>
      <c r="BV1174" t="s">
        <v>86</v>
      </c>
      <c r="BY1174">
        <v>391500</v>
      </c>
      <c r="CA1174" t="s">
        <v>1143</v>
      </c>
      <c r="CC1174" t="s">
        <v>606</v>
      </c>
      <c r="CD1174">
        <v>1947</v>
      </c>
      <c r="CE1174" t="s">
        <v>1932</v>
      </c>
      <c r="CF1174" s="3">
        <v>45943</v>
      </c>
      <c r="CI1174">
        <v>1</v>
      </c>
      <c r="CJ1174">
        <v>1</v>
      </c>
      <c r="CK1174">
        <v>43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"RR080068291897"</f>
        <v>RR080068291897</v>
      </c>
      <c r="F1175" s="3">
        <v>45939</v>
      </c>
      <c r="G1175">
        <v>202607</v>
      </c>
      <c r="H1175" t="s">
        <v>148</v>
      </c>
      <c r="I1175" t="s">
        <v>149</v>
      </c>
      <c r="J1175" t="s">
        <v>1681</v>
      </c>
      <c r="K1175" t="s">
        <v>78</v>
      </c>
      <c r="L1175" t="s">
        <v>206</v>
      </c>
      <c r="M1175" t="s">
        <v>207</v>
      </c>
      <c r="N1175" t="s">
        <v>1933</v>
      </c>
      <c r="O1175" t="s">
        <v>95</v>
      </c>
      <c r="P1175" t="str">
        <f>"4170062849                    "</f>
        <v xml:space="preserve">4170062849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43.23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143.08000000000001</v>
      </c>
      <c r="BM1175">
        <v>21.46</v>
      </c>
      <c r="BN1175">
        <v>164.54</v>
      </c>
      <c r="BO1175">
        <v>164.54</v>
      </c>
      <c r="BQ1175" t="s">
        <v>1934</v>
      </c>
      <c r="BR1175" t="s">
        <v>1682</v>
      </c>
      <c r="BS1175" s="3">
        <v>45943</v>
      </c>
      <c r="BT1175" s="4">
        <v>0.46458333333333335</v>
      </c>
      <c r="BU1175" t="s">
        <v>1935</v>
      </c>
      <c r="BV1175" t="s">
        <v>86</v>
      </c>
      <c r="BY1175">
        <v>1200</v>
      </c>
      <c r="BZ1175" t="s">
        <v>99</v>
      </c>
      <c r="CA1175" t="s">
        <v>461</v>
      </c>
      <c r="CC1175" t="s">
        <v>207</v>
      </c>
      <c r="CD1175">
        <v>7404</v>
      </c>
      <c r="CE1175" t="s">
        <v>120</v>
      </c>
      <c r="CF1175" s="3">
        <v>45946</v>
      </c>
      <c r="CI1175">
        <v>3</v>
      </c>
      <c r="CJ1175">
        <v>2</v>
      </c>
      <c r="CK1175">
        <v>41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"080068424531"</f>
        <v>080068424531</v>
      </c>
      <c r="F1176" s="3">
        <v>45939</v>
      </c>
      <c r="G1176">
        <v>202607</v>
      </c>
      <c r="H1176" t="s">
        <v>79</v>
      </c>
      <c r="I1176" t="s">
        <v>80</v>
      </c>
      <c r="J1176" t="s">
        <v>91</v>
      </c>
      <c r="K1176" t="s">
        <v>78</v>
      </c>
      <c r="L1176" t="s">
        <v>946</v>
      </c>
      <c r="M1176" t="s">
        <v>947</v>
      </c>
      <c r="N1176" t="s">
        <v>948</v>
      </c>
      <c r="O1176" t="s">
        <v>82</v>
      </c>
      <c r="P1176" t="str">
        <f>"4170063808                    "</f>
        <v xml:space="preserve">4170063808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72.650000000000006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3.3</v>
      </c>
      <c r="BK1176">
        <v>3.5</v>
      </c>
      <c r="BL1176">
        <v>230.59</v>
      </c>
      <c r="BM1176">
        <v>34.590000000000003</v>
      </c>
      <c r="BN1176">
        <v>265.18</v>
      </c>
      <c r="BO1176">
        <v>265.18</v>
      </c>
      <c r="BQ1176" t="s">
        <v>949</v>
      </c>
      <c r="BR1176" t="s">
        <v>97</v>
      </c>
      <c r="BS1176" s="3">
        <v>45940</v>
      </c>
      <c r="BT1176" s="4">
        <v>0.53819444444444442</v>
      </c>
      <c r="BU1176" t="s">
        <v>950</v>
      </c>
      <c r="BV1176" t="s">
        <v>86</v>
      </c>
      <c r="BY1176">
        <v>16268</v>
      </c>
      <c r="CA1176" t="s">
        <v>951</v>
      </c>
      <c r="CC1176" t="s">
        <v>947</v>
      </c>
      <c r="CD1176">
        <v>6500</v>
      </c>
      <c r="CE1176" t="s">
        <v>107</v>
      </c>
      <c r="CF1176" s="3">
        <v>45943</v>
      </c>
      <c r="CI1176">
        <v>1</v>
      </c>
      <c r="CJ1176">
        <v>1</v>
      </c>
      <c r="CK1176">
        <v>23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"080068424589"</f>
        <v>080068424589</v>
      </c>
      <c r="F1177" s="3">
        <v>45939</v>
      </c>
      <c r="G1177">
        <v>202607</v>
      </c>
      <c r="H1177" t="s">
        <v>79</v>
      </c>
      <c r="I1177" t="s">
        <v>80</v>
      </c>
      <c r="J1177" t="s">
        <v>91</v>
      </c>
      <c r="K1177" t="s">
        <v>78</v>
      </c>
      <c r="L1177" t="s">
        <v>108</v>
      </c>
      <c r="M1177" t="s">
        <v>109</v>
      </c>
      <c r="N1177" t="s">
        <v>938</v>
      </c>
      <c r="O1177" t="s">
        <v>82</v>
      </c>
      <c r="P1177" t="str">
        <f>"4170063807                    "</f>
        <v xml:space="preserve">4170063807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22.36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1.4</v>
      </c>
      <c r="BK1177">
        <v>1.5</v>
      </c>
      <c r="BL1177">
        <v>70.959999999999994</v>
      </c>
      <c r="BM1177">
        <v>10.64</v>
      </c>
      <c r="BN1177">
        <v>81.599999999999994</v>
      </c>
      <c r="BO1177">
        <v>81.599999999999994</v>
      </c>
      <c r="BQ1177" t="s">
        <v>939</v>
      </c>
      <c r="BR1177" t="s">
        <v>97</v>
      </c>
      <c r="BS1177" s="3">
        <v>45940</v>
      </c>
      <c r="BT1177" s="4">
        <v>0.42986111111111114</v>
      </c>
      <c r="BU1177" t="s">
        <v>1936</v>
      </c>
      <c r="BV1177" t="s">
        <v>86</v>
      </c>
      <c r="BY1177">
        <v>7000</v>
      </c>
      <c r="CA1177" t="s">
        <v>1145</v>
      </c>
      <c r="CC1177" t="s">
        <v>109</v>
      </c>
      <c r="CD1177">
        <v>6056</v>
      </c>
      <c r="CE1177" t="s">
        <v>191</v>
      </c>
      <c r="CF1177" s="3">
        <v>45940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"080068424637"</f>
        <v>080068424637</v>
      </c>
      <c r="F1178" s="3">
        <v>45939</v>
      </c>
      <c r="G1178">
        <v>202607</v>
      </c>
      <c r="H1178" t="s">
        <v>79</v>
      </c>
      <c r="I1178" t="s">
        <v>80</v>
      </c>
      <c r="J1178" t="s">
        <v>91</v>
      </c>
      <c r="K1178" t="s">
        <v>78</v>
      </c>
      <c r="L1178" t="s">
        <v>333</v>
      </c>
      <c r="M1178" t="s">
        <v>334</v>
      </c>
      <c r="N1178" t="s">
        <v>1388</v>
      </c>
      <c r="O1178" t="s">
        <v>82</v>
      </c>
      <c r="P1178" t="str">
        <f>"4170063805                    "</f>
        <v xml:space="preserve">4170063805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22.36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</v>
      </c>
      <c r="BJ1178">
        <v>1.1000000000000001</v>
      </c>
      <c r="BK1178">
        <v>2</v>
      </c>
      <c r="BL1178">
        <v>70.959999999999994</v>
      </c>
      <c r="BM1178">
        <v>10.64</v>
      </c>
      <c r="BN1178">
        <v>81.599999999999994</v>
      </c>
      <c r="BO1178">
        <v>81.599999999999994</v>
      </c>
      <c r="BQ1178" t="s">
        <v>1389</v>
      </c>
      <c r="BR1178" t="s">
        <v>97</v>
      </c>
      <c r="BS1178" s="3">
        <v>45940</v>
      </c>
      <c r="BT1178" s="4">
        <v>0.41875000000000001</v>
      </c>
      <c r="BU1178" t="s">
        <v>1870</v>
      </c>
      <c r="BV1178" t="s">
        <v>86</v>
      </c>
      <c r="BY1178">
        <v>5280</v>
      </c>
      <c r="CA1178" t="s">
        <v>1858</v>
      </c>
      <c r="CC1178" t="s">
        <v>334</v>
      </c>
      <c r="CD1178">
        <v>6220</v>
      </c>
      <c r="CE1178" t="s">
        <v>191</v>
      </c>
      <c r="CF1178" s="3">
        <v>45940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"080068424647"</f>
        <v>080068424647</v>
      </c>
      <c r="F1179" s="3">
        <v>45939</v>
      </c>
      <c r="G1179">
        <v>202607</v>
      </c>
      <c r="H1179" t="s">
        <v>79</v>
      </c>
      <c r="I1179" t="s">
        <v>80</v>
      </c>
      <c r="J1179" t="s">
        <v>91</v>
      </c>
      <c r="K1179" t="s">
        <v>78</v>
      </c>
      <c r="L1179" t="s">
        <v>333</v>
      </c>
      <c r="M1179" t="s">
        <v>334</v>
      </c>
      <c r="N1179" t="s">
        <v>794</v>
      </c>
      <c r="O1179" t="s">
        <v>82</v>
      </c>
      <c r="P1179" t="str">
        <f>"4170063809                    "</f>
        <v xml:space="preserve">4170063809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55.86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5</v>
      </c>
      <c r="BJ1179">
        <v>1.9</v>
      </c>
      <c r="BK1179">
        <v>5</v>
      </c>
      <c r="BL1179">
        <v>177.3</v>
      </c>
      <c r="BM1179">
        <v>26.6</v>
      </c>
      <c r="BN1179">
        <v>203.9</v>
      </c>
      <c r="BO1179">
        <v>203.9</v>
      </c>
      <c r="BQ1179" t="s">
        <v>795</v>
      </c>
      <c r="BR1179" t="s">
        <v>97</v>
      </c>
      <c r="BS1179" s="3">
        <v>45940</v>
      </c>
      <c r="BT1179" s="4">
        <v>0.44097222222222221</v>
      </c>
      <c r="BU1179" t="s">
        <v>796</v>
      </c>
      <c r="BV1179" t="s">
        <v>90</v>
      </c>
      <c r="BY1179">
        <v>9600</v>
      </c>
      <c r="CA1179" t="s">
        <v>1858</v>
      </c>
      <c r="CC1179" t="s">
        <v>334</v>
      </c>
      <c r="CD1179">
        <v>6220</v>
      </c>
      <c r="CE1179" t="s">
        <v>191</v>
      </c>
      <c r="CF1179" s="3">
        <v>45940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"080068424691"</f>
        <v>080068424691</v>
      </c>
      <c r="F1180" s="3">
        <v>45939</v>
      </c>
      <c r="G1180">
        <v>202607</v>
      </c>
      <c r="H1180" t="s">
        <v>79</v>
      </c>
      <c r="I1180" t="s">
        <v>80</v>
      </c>
      <c r="J1180" t="s">
        <v>91</v>
      </c>
      <c r="K1180" t="s">
        <v>78</v>
      </c>
      <c r="L1180" t="s">
        <v>108</v>
      </c>
      <c r="M1180" t="s">
        <v>109</v>
      </c>
      <c r="N1180" t="s">
        <v>515</v>
      </c>
      <c r="O1180" t="s">
        <v>82</v>
      </c>
      <c r="P1180" t="str">
        <f>"4170063806                    "</f>
        <v xml:space="preserve">4170063806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22.36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1.2</v>
      </c>
      <c r="BK1180">
        <v>1.5</v>
      </c>
      <c r="BL1180">
        <v>70.959999999999994</v>
      </c>
      <c r="BM1180">
        <v>10.64</v>
      </c>
      <c r="BN1180">
        <v>81.599999999999994</v>
      </c>
      <c r="BO1180">
        <v>81.599999999999994</v>
      </c>
      <c r="BQ1180" t="s">
        <v>516</v>
      </c>
      <c r="BR1180" t="s">
        <v>97</v>
      </c>
      <c r="BS1180" s="3">
        <v>45940</v>
      </c>
      <c r="BT1180" s="4">
        <v>0.45069444444444445</v>
      </c>
      <c r="BU1180" t="s">
        <v>1580</v>
      </c>
      <c r="BV1180" t="s">
        <v>90</v>
      </c>
      <c r="BY1180">
        <v>5850</v>
      </c>
      <c r="CC1180" t="s">
        <v>109</v>
      </c>
      <c r="CD1180">
        <v>6001</v>
      </c>
      <c r="CE1180" t="s">
        <v>191</v>
      </c>
      <c r="CF1180" s="3">
        <v>45940</v>
      </c>
      <c r="CI1180">
        <v>1</v>
      </c>
      <c r="CJ1180">
        <v>1</v>
      </c>
      <c r="CK1180">
        <v>21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"080068424782"</f>
        <v>080068424782</v>
      </c>
      <c r="F1181" s="3">
        <v>45939</v>
      </c>
      <c r="G1181">
        <v>202607</v>
      </c>
      <c r="H1181" t="s">
        <v>79</v>
      </c>
      <c r="I1181" t="s">
        <v>80</v>
      </c>
      <c r="J1181" t="s">
        <v>91</v>
      </c>
      <c r="K1181" t="s">
        <v>78</v>
      </c>
      <c r="L1181" t="s">
        <v>148</v>
      </c>
      <c r="M1181" t="s">
        <v>149</v>
      </c>
      <c r="N1181" t="s">
        <v>1937</v>
      </c>
      <c r="O1181" t="s">
        <v>226</v>
      </c>
      <c r="P1181" t="str">
        <f>"4170063758                    "</f>
        <v xml:space="preserve">4170063758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17.47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6</v>
      </c>
      <c r="BJ1181">
        <v>7.3</v>
      </c>
      <c r="BK1181">
        <v>8</v>
      </c>
      <c r="BL1181">
        <v>55.44</v>
      </c>
      <c r="BM1181">
        <v>8.32</v>
      </c>
      <c r="BN1181">
        <v>63.76</v>
      </c>
      <c r="BO1181">
        <v>63.76</v>
      </c>
      <c r="BQ1181" t="s">
        <v>1938</v>
      </c>
      <c r="BR1181" t="s">
        <v>97</v>
      </c>
      <c r="BS1181" s="3">
        <v>45940</v>
      </c>
      <c r="BT1181" s="4">
        <v>0.31666666666666665</v>
      </c>
      <c r="BU1181" t="s">
        <v>1939</v>
      </c>
      <c r="BV1181" t="s">
        <v>86</v>
      </c>
      <c r="BY1181">
        <v>36556</v>
      </c>
      <c r="CA1181" t="s">
        <v>1940</v>
      </c>
      <c r="CC1181" t="s">
        <v>149</v>
      </c>
      <c r="CD1181">
        <v>2021</v>
      </c>
      <c r="CE1181" t="s">
        <v>107</v>
      </c>
      <c r="CF1181" s="3">
        <v>45941</v>
      </c>
      <c r="CI1181">
        <v>1</v>
      </c>
      <c r="CJ1181">
        <v>1</v>
      </c>
      <c r="CK1181">
        <v>32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"080068425009"</f>
        <v>080068425009</v>
      </c>
      <c r="F1182" s="3">
        <v>45939</v>
      </c>
      <c r="G1182">
        <v>202607</v>
      </c>
      <c r="H1182" t="s">
        <v>79</v>
      </c>
      <c r="I1182" t="s">
        <v>80</v>
      </c>
      <c r="J1182" t="s">
        <v>91</v>
      </c>
      <c r="K1182" t="s">
        <v>78</v>
      </c>
      <c r="L1182" t="s">
        <v>1508</v>
      </c>
      <c r="M1182" t="s">
        <v>1509</v>
      </c>
      <c r="N1182" t="s">
        <v>1727</v>
      </c>
      <c r="O1182" t="s">
        <v>95</v>
      </c>
      <c r="P1182" t="str">
        <f>"4170063803                    "</f>
        <v xml:space="preserve">4170063803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151.28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4</v>
      </c>
      <c r="BI1182">
        <v>44</v>
      </c>
      <c r="BJ1182">
        <v>21.7</v>
      </c>
      <c r="BK1182">
        <v>44</v>
      </c>
      <c r="BL1182">
        <v>486.03</v>
      </c>
      <c r="BM1182">
        <v>72.900000000000006</v>
      </c>
      <c r="BN1182">
        <v>558.92999999999995</v>
      </c>
      <c r="BO1182">
        <v>558.92999999999995</v>
      </c>
      <c r="BQ1182" t="s">
        <v>1728</v>
      </c>
      <c r="BR1182" t="s">
        <v>97</v>
      </c>
      <c r="BS1182" s="3">
        <v>45944</v>
      </c>
      <c r="BT1182" s="4">
        <v>0.71875</v>
      </c>
      <c r="BU1182" t="s">
        <v>1941</v>
      </c>
      <c r="BV1182" t="s">
        <v>90</v>
      </c>
      <c r="BY1182">
        <v>27166</v>
      </c>
      <c r="CC1182" t="s">
        <v>1509</v>
      </c>
      <c r="CD1182">
        <v>3370</v>
      </c>
      <c r="CE1182" t="s">
        <v>1088</v>
      </c>
      <c r="CF1182" s="3">
        <v>45945</v>
      </c>
      <c r="CI1182">
        <v>2</v>
      </c>
      <c r="CJ1182">
        <v>3</v>
      </c>
      <c r="CK1182">
        <v>43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"080068425044"</f>
        <v>080068425044</v>
      </c>
      <c r="F1183" s="3">
        <v>45939</v>
      </c>
      <c r="G1183">
        <v>202607</v>
      </c>
      <c r="H1183" t="s">
        <v>79</v>
      </c>
      <c r="I1183" t="s">
        <v>80</v>
      </c>
      <c r="J1183" t="s">
        <v>91</v>
      </c>
      <c r="K1183" t="s">
        <v>78</v>
      </c>
      <c r="L1183" t="s">
        <v>605</v>
      </c>
      <c r="M1183" t="s">
        <v>606</v>
      </c>
      <c r="N1183" t="s">
        <v>607</v>
      </c>
      <c r="O1183" t="s">
        <v>82</v>
      </c>
      <c r="P1183" t="str">
        <f>"4170063804                    "</f>
        <v xml:space="preserve">4170063804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43.31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1.9</v>
      </c>
      <c r="BK1183">
        <v>2</v>
      </c>
      <c r="BL1183">
        <v>137.47</v>
      </c>
      <c r="BM1183">
        <v>20.62</v>
      </c>
      <c r="BN1183">
        <v>158.09</v>
      </c>
      <c r="BO1183">
        <v>158.09</v>
      </c>
      <c r="BQ1183" t="s">
        <v>608</v>
      </c>
      <c r="BR1183" t="s">
        <v>97</v>
      </c>
      <c r="BS1183" s="3">
        <v>45940</v>
      </c>
      <c r="BT1183" s="4">
        <v>0.41041666666666665</v>
      </c>
      <c r="BU1183" t="s">
        <v>609</v>
      </c>
      <c r="BV1183" t="s">
        <v>86</v>
      </c>
      <c r="BY1183">
        <v>9576</v>
      </c>
      <c r="CA1183" t="s">
        <v>610</v>
      </c>
      <c r="CC1183" t="s">
        <v>606</v>
      </c>
      <c r="CD1183">
        <v>1947</v>
      </c>
      <c r="CE1183" t="s">
        <v>191</v>
      </c>
      <c r="CF1183" s="3">
        <v>45940</v>
      </c>
      <c r="CI1183">
        <v>1</v>
      </c>
      <c r="CJ1183">
        <v>1</v>
      </c>
      <c r="CK1183">
        <v>23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"080068425064"</f>
        <v>080068425064</v>
      </c>
      <c r="F1184" s="3">
        <v>45939</v>
      </c>
      <c r="G1184">
        <v>202607</v>
      </c>
      <c r="H1184" t="s">
        <v>79</v>
      </c>
      <c r="I1184" t="s">
        <v>80</v>
      </c>
      <c r="J1184" t="s">
        <v>91</v>
      </c>
      <c r="K1184" t="s">
        <v>78</v>
      </c>
      <c r="L1184" t="s">
        <v>333</v>
      </c>
      <c r="M1184" t="s">
        <v>334</v>
      </c>
      <c r="N1184" t="s">
        <v>794</v>
      </c>
      <c r="O1184" t="s">
        <v>95</v>
      </c>
      <c r="P1184" t="str">
        <f>"4170063810                    "</f>
        <v xml:space="preserve">4170063810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80.709999999999994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2</v>
      </c>
      <c r="BI1184">
        <v>36</v>
      </c>
      <c r="BJ1184">
        <v>32.200000000000003</v>
      </c>
      <c r="BK1184">
        <v>36</v>
      </c>
      <c r="BL1184">
        <v>262.04000000000002</v>
      </c>
      <c r="BM1184">
        <v>39.31</v>
      </c>
      <c r="BN1184">
        <v>301.35000000000002</v>
      </c>
      <c r="BO1184">
        <v>301.35000000000002</v>
      </c>
      <c r="BQ1184" t="s">
        <v>795</v>
      </c>
      <c r="BR1184" t="s">
        <v>97</v>
      </c>
      <c r="BS1184" s="3">
        <v>45943</v>
      </c>
      <c r="BT1184" s="4">
        <v>0.47152777777777777</v>
      </c>
      <c r="BU1184" t="s">
        <v>796</v>
      </c>
      <c r="BV1184" t="s">
        <v>86</v>
      </c>
      <c r="BY1184">
        <v>160864</v>
      </c>
      <c r="CA1184" t="s">
        <v>142</v>
      </c>
      <c r="CC1184" t="s">
        <v>334</v>
      </c>
      <c r="CD1184">
        <v>6220</v>
      </c>
      <c r="CE1184" t="s">
        <v>191</v>
      </c>
      <c r="CF1184" s="3">
        <v>45943</v>
      </c>
      <c r="CI1184">
        <v>3</v>
      </c>
      <c r="CJ1184">
        <v>2</v>
      </c>
      <c r="CK1184">
        <v>41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"080068414349"</f>
        <v>080068414349</v>
      </c>
      <c r="F1185" s="3">
        <v>45939</v>
      </c>
      <c r="G1185">
        <v>202607</v>
      </c>
      <c r="H1185" t="s">
        <v>79</v>
      </c>
      <c r="I1185" t="s">
        <v>80</v>
      </c>
      <c r="J1185" t="s">
        <v>91</v>
      </c>
      <c r="K1185" t="s">
        <v>78</v>
      </c>
      <c r="L1185" t="s">
        <v>195</v>
      </c>
      <c r="M1185" t="s">
        <v>196</v>
      </c>
      <c r="N1185" t="s">
        <v>197</v>
      </c>
      <c r="O1185" t="s">
        <v>95</v>
      </c>
      <c r="P1185" t="str">
        <f>"4170063710                    "</f>
        <v xml:space="preserve">4170063710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2</v>
      </c>
      <c r="BI1185">
        <v>29</v>
      </c>
      <c r="BJ1185">
        <v>0</v>
      </c>
      <c r="BK1185">
        <v>29</v>
      </c>
      <c r="BL1185">
        <v>0</v>
      </c>
      <c r="BM1185">
        <v>0</v>
      </c>
      <c r="BN1185">
        <v>0</v>
      </c>
      <c r="BO1185">
        <v>0</v>
      </c>
      <c r="BQ1185" t="s">
        <v>198</v>
      </c>
      <c r="BR1185" t="s">
        <v>97</v>
      </c>
      <c r="BS1185" s="3">
        <v>45939</v>
      </c>
      <c r="BT1185" s="4">
        <v>0.49583333333333335</v>
      </c>
      <c r="BU1185" t="s">
        <v>1942</v>
      </c>
      <c r="BV1185" t="s">
        <v>86</v>
      </c>
      <c r="BY1185">
        <v>132960</v>
      </c>
      <c r="BZ1185" t="s">
        <v>99</v>
      </c>
      <c r="CA1185" t="s">
        <v>1943</v>
      </c>
      <c r="CC1185" t="s">
        <v>196</v>
      </c>
      <c r="CD1185">
        <v>1900</v>
      </c>
      <c r="CE1185" t="s">
        <v>101</v>
      </c>
      <c r="CI1185">
        <v>1</v>
      </c>
      <c r="CJ1185">
        <v>0</v>
      </c>
      <c r="CK1185">
        <v>-1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"080068418116"</f>
        <v>080068418116</v>
      </c>
      <c r="F1186" s="3">
        <v>45939</v>
      </c>
      <c r="G1186">
        <v>202607</v>
      </c>
      <c r="H1186" t="s">
        <v>79</v>
      </c>
      <c r="I1186" t="s">
        <v>80</v>
      </c>
      <c r="J1186" t="s">
        <v>1944</v>
      </c>
      <c r="K1186" t="s">
        <v>78</v>
      </c>
      <c r="L1186" t="s">
        <v>148</v>
      </c>
      <c r="M1186" t="s">
        <v>149</v>
      </c>
      <c r="N1186" t="s">
        <v>1937</v>
      </c>
      <c r="O1186" t="s">
        <v>226</v>
      </c>
      <c r="P1186" t="str">
        <f>"4170063758                    "</f>
        <v xml:space="preserve">4170063758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6</v>
      </c>
      <c r="BJ1186">
        <v>7.3</v>
      </c>
      <c r="BK1186">
        <v>8</v>
      </c>
      <c r="BL1186">
        <v>0</v>
      </c>
      <c r="BM1186">
        <v>0</v>
      </c>
      <c r="BN1186">
        <v>0</v>
      </c>
      <c r="BO1186">
        <v>0</v>
      </c>
      <c r="BQ1186" t="s">
        <v>1938</v>
      </c>
      <c r="BR1186" t="s">
        <v>1945</v>
      </c>
      <c r="BS1186" s="3">
        <v>45939</v>
      </c>
      <c r="BT1186" s="4">
        <v>0.59930555555555554</v>
      </c>
      <c r="BU1186" t="s">
        <v>1946</v>
      </c>
      <c r="BV1186" t="s">
        <v>86</v>
      </c>
      <c r="BY1186">
        <v>36556</v>
      </c>
      <c r="BZ1186" t="s">
        <v>1947</v>
      </c>
      <c r="CA1186" t="s">
        <v>1948</v>
      </c>
      <c r="CC1186" t="s">
        <v>149</v>
      </c>
      <c r="CD1186">
        <v>2021</v>
      </c>
      <c r="CE1186" t="s">
        <v>89</v>
      </c>
      <c r="CI1186">
        <v>1</v>
      </c>
      <c r="CJ1186">
        <v>0</v>
      </c>
      <c r="CK1186">
        <v>-1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"080068436832"</f>
        <v>080068436832</v>
      </c>
      <c r="F1187" s="3">
        <v>45940</v>
      </c>
      <c r="G1187">
        <v>202607</v>
      </c>
      <c r="H1187" t="s">
        <v>79</v>
      </c>
      <c r="I1187" t="s">
        <v>80</v>
      </c>
      <c r="J1187" t="s">
        <v>91</v>
      </c>
      <c r="K1187" t="s">
        <v>78</v>
      </c>
      <c r="L1187" t="s">
        <v>322</v>
      </c>
      <c r="M1187" t="s">
        <v>322</v>
      </c>
      <c r="N1187" t="s">
        <v>197</v>
      </c>
      <c r="O1187" t="s">
        <v>82</v>
      </c>
      <c r="P1187" t="str">
        <f>"4170063882                    "</f>
        <v xml:space="preserve">4170063882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43.31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137.47</v>
      </c>
      <c r="BM1187">
        <v>20.62</v>
      </c>
      <c r="BN1187">
        <v>158.09</v>
      </c>
      <c r="BO1187">
        <v>158.09</v>
      </c>
      <c r="BQ1187" t="s">
        <v>198</v>
      </c>
      <c r="BR1187" t="s">
        <v>97</v>
      </c>
      <c r="BS1187" s="3">
        <v>45943</v>
      </c>
      <c r="BT1187" s="4">
        <v>0.53749999999999998</v>
      </c>
      <c r="BU1187" t="s">
        <v>1949</v>
      </c>
      <c r="BV1187" t="s">
        <v>86</v>
      </c>
      <c r="BY1187">
        <v>1200</v>
      </c>
      <c r="CA1187" t="s">
        <v>326</v>
      </c>
      <c r="CC1187" t="s">
        <v>322</v>
      </c>
      <c r="CD1187">
        <v>7646</v>
      </c>
      <c r="CE1187" t="s">
        <v>147</v>
      </c>
      <c r="CF1187" s="3">
        <v>45944</v>
      </c>
      <c r="CI1187">
        <v>1</v>
      </c>
      <c r="CJ1187">
        <v>1</v>
      </c>
      <c r="CK1187">
        <v>23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"080068436861"</f>
        <v>080068436861</v>
      </c>
      <c r="F1188" s="3">
        <v>45940</v>
      </c>
      <c r="G1188">
        <v>202607</v>
      </c>
      <c r="H1188" t="s">
        <v>79</v>
      </c>
      <c r="I1188" t="s">
        <v>80</v>
      </c>
      <c r="J1188" t="s">
        <v>91</v>
      </c>
      <c r="K1188" t="s">
        <v>78</v>
      </c>
      <c r="L1188" t="s">
        <v>79</v>
      </c>
      <c r="M1188" t="s">
        <v>80</v>
      </c>
      <c r="N1188" t="s">
        <v>357</v>
      </c>
      <c r="O1188" t="s">
        <v>82</v>
      </c>
      <c r="P1188" t="str">
        <f>"4170063881                    "</f>
        <v xml:space="preserve">4170063881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17.46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55.42</v>
      </c>
      <c r="BM1188">
        <v>8.31</v>
      </c>
      <c r="BN1188">
        <v>63.73</v>
      </c>
      <c r="BO1188">
        <v>63.73</v>
      </c>
      <c r="BQ1188" t="s">
        <v>358</v>
      </c>
      <c r="BR1188" t="s">
        <v>97</v>
      </c>
      <c r="BS1188" s="3">
        <v>45943</v>
      </c>
      <c r="BT1188" s="4">
        <v>0.375</v>
      </c>
      <c r="BU1188" t="s">
        <v>1950</v>
      </c>
      <c r="BV1188" t="s">
        <v>86</v>
      </c>
      <c r="BY1188">
        <v>1200</v>
      </c>
      <c r="CA1188" t="s">
        <v>360</v>
      </c>
      <c r="CC1188" t="s">
        <v>80</v>
      </c>
      <c r="CD1188">
        <v>1645</v>
      </c>
      <c r="CE1188" t="s">
        <v>147</v>
      </c>
      <c r="CF1188" s="3">
        <v>45943</v>
      </c>
      <c r="CI1188">
        <v>1</v>
      </c>
      <c r="CJ1188">
        <v>1</v>
      </c>
      <c r="CK1188">
        <v>22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"080068436867"</f>
        <v>080068436867</v>
      </c>
      <c r="F1189" s="3">
        <v>45940</v>
      </c>
      <c r="G1189">
        <v>202607</v>
      </c>
      <c r="H1189" t="s">
        <v>79</v>
      </c>
      <c r="I1189" t="s">
        <v>80</v>
      </c>
      <c r="J1189" t="s">
        <v>91</v>
      </c>
      <c r="K1189" t="s">
        <v>78</v>
      </c>
      <c r="L1189" t="s">
        <v>206</v>
      </c>
      <c r="M1189" t="s">
        <v>207</v>
      </c>
      <c r="N1189" t="s">
        <v>1951</v>
      </c>
      <c r="O1189" t="s">
        <v>95</v>
      </c>
      <c r="P1189" t="str">
        <f>"4170063857                    "</f>
        <v xml:space="preserve">4170063857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53.94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2</v>
      </c>
      <c r="BI1189">
        <v>20</v>
      </c>
      <c r="BJ1189">
        <v>20.399999999999999</v>
      </c>
      <c r="BK1189">
        <v>21</v>
      </c>
      <c r="BL1189">
        <v>177.07</v>
      </c>
      <c r="BM1189">
        <v>26.56</v>
      </c>
      <c r="BN1189">
        <v>203.63</v>
      </c>
      <c r="BO1189">
        <v>203.63</v>
      </c>
      <c r="BQ1189" t="s">
        <v>1952</v>
      </c>
      <c r="BR1189" t="s">
        <v>97</v>
      </c>
      <c r="BS1189" s="3">
        <v>45944</v>
      </c>
      <c r="BT1189" s="4">
        <v>0.48402777777777778</v>
      </c>
      <c r="BU1189" t="s">
        <v>1953</v>
      </c>
      <c r="BV1189" t="s">
        <v>86</v>
      </c>
      <c r="BY1189">
        <v>102000</v>
      </c>
      <c r="CA1189" t="s">
        <v>1954</v>
      </c>
      <c r="CC1189" t="s">
        <v>207</v>
      </c>
      <c r="CD1189">
        <v>7441</v>
      </c>
      <c r="CE1189" t="s">
        <v>1955</v>
      </c>
      <c r="CF1189" s="3">
        <v>45945</v>
      </c>
      <c r="CI1189">
        <v>3</v>
      </c>
      <c r="CJ1189">
        <v>2</v>
      </c>
      <c r="CK1189">
        <v>41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"080068436879"</f>
        <v>080068436879</v>
      </c>
      <c r="F1190" s="3">
        <v>45940</v>
      </c>
      <c r="G1190">
        <v>202607</v>
      </c>
      <c r="H1190" t="s">
        <v>79</v>
      </c>
      <c r="I1190" t="s">
        <v>80</v>
      </c>
      <c r="J1190" t="s">
        <v>91</v>
      </c>
      <c r="K1190" t="s">
        <v>78</v>
      </c>
      <c r="L1190" t="s">
        <v>79</v>
      </c>
      <c r="M1190" t="s">
        <v>80</v>
      </c>
      <c r="N1190" t="s">
        <v>577</v>
      </c>
      <c r="O1190" t="s">
        <v>82</v>
      </c>
      <c r="P1190" t="str">
        <f>"4170063851                    "</f>
        <v xml:space="preserve">4170063851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17.46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55.42</v>
      </c>
      <c r="BM1190">
        <v>8.31</v>
      </c>
      <c r="BN1190">
        <v>63.73</v>
      </c>
      <c r="BO1190">
        <v>63.73</v>
      </c>
      <c r="BQ1190" t="s">
        <v>578</v>
      </c>
      <c r="BR1190" t="s">
        <v>97</v>
      </c>
      <c r="BS1190" s="3">
        <v>45943</v>
      </c>
      <c r="BT1190" s="4">
        <v>0.41666666666666669</v>
      </c>
      <c r="BU1190" t="s">
        <v>1956</v>
      </c>
      <c r="BV1190" t="s">
        <v>86</v>
      </c>
      <c r="BY1190">
        <v>1200</v>
      </c>
      <c r="CA1190" t="s">
        <v>1957</v>
      </c>
      <c r="CC1190" t="s">
        <v>80</v>
      </c>
      <c r="CD1190">
        <v>1619</v>
      </c>
      <c r="CE1190" t="s">
        <v>147</v>
      </c>
      <c r="CF1190" s="3">
        <v>45943</v>
      </c>
      <c r="CI1190">
        <v>1</v>
      </c>
      <c r="CJ1190">
        <v>1</v>
      </c>
      <c r="CK1190">
        <v>22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"080068436920"</f>
        <v>080068436920</v>
      </c>
      <c r="F1191" s="3">
        <v>45940</v>
      </c>
      <c r="G1191">
        <v>202607</v>
      </c>
      <c r="H1191" t="s">
        <v>79</v>
      </c>
      <c r="I1191" t="s">
        <v>80</v>
      </c>
      <c r="J1191" t="s">
        <v>91</v>
      </c>
      <c r="K1191" t="s">
        <v>78</v>
      </c>
      <c r="L1191" t="s">
        <v>453</v>
      </c>
      <c r="M1191" t="s">
        <v>454</v>
      </c>
      <c r="N1191" t="s">
        <v>665</v>
      </c>
      <c r="O1191" t="s">
        <v>82</v>
      </c>
      <c r="P1191" t="str">
        <f>"4170063879                    "</f>
        <v xml:space="preserve">4170063879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22.36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1.1000000000000001</v>
      </c>
      <c r="BK1191">
        <v>2</v>
      </c>
      <c r="BL1191">
        <v>70.959999999999994</v>
      </c>
      <c r="BM1191">
        <v>10.64</v>
      </c>
      <c r="BN1191">
        <v>81.599999999999994</v>
      </c>
      <c r="BO1191">
        <v>81.599999999999994</v>
      </c>
      <c r="BQ1191" t="s">
        <v>666</v>
      </c>
      <c r="BR1191" t="s">
        <v>97</v>
      </c>
      <c r="BS1191" s="3">
        <v>45943</v>
      </c>
      <c r="BT1191" s="4">
        <v>0.46597222222222223</v>
      </c>
      <c r="BU1191" t="s">
        <v>667</v>
      </c>
      <c r="BV1191" t="s">
        <v>86</v>
      </c>
      <c r="BY1191">
        <v>5510</v>
      </c>
      <c r="CA1191" t="s">
        <v>742</v>
      </c>
      <c r="CC1191" t="s">
        <v>454</v>
      </c>
      <c r="CD1191">
        <v>3610</v>
      </c>
      <c r="CE1191" t="s">
        <v>191</v>
      </c>
      <c r="CF1191" s="3">
        <v>45943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"080068436927"</f>
        <v>080068436927</v>
      </c>
      <c r="F1192" s="3">
        <v>45940</v>
      </c>
      <c r="G1192">
        <v>202607</v>
      </c>
      <c r="H1192" t="s">
        <v>79</v>
      </c>
      <c r="I1192" t="s">
        <v>80</v>
      </c>
      <c r="J1192" t="s">
        <v>91</v>
      </c>
      <c r="K1192" t="s">
        <v>78</v>
      </c>
      <c r="L1192" t="s">
        <v>206</v>
      </c>
      <c r="M1192" t="s">
        <v>207</v>
      </c>
      <c r="N1192" t="s">
        <v>1514</v>
      </c>
      <c r="O1192" t="s">
        <v>82</v>
      </c>
      <c r="P1192" t="str">
        <f>"4170063880                    "</f>
        <v xml:space="preserve">4170063880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22.36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70.959999999999994</v>
      </c>
      <c r="BM1192">
        <v>10.64</v>
      </c>
      <c r="BN1192">
        <v>81.599999999999994</v>
      </c>
      <c r="BO1192">
        <v>81.599999999999994</v>
      </c>
      <c r="BQ1192" t="s">
        <v>1515</v>
      </c>
      <c r="BR1192" t="s">
        <v>97</v>
      </c>
      <c r="BS1192" s="3">
        <v>45943</v>
      </c>
      <c r="BT1192" s="4">
        <v>0.38124999999999998</v>
      </c>
      <c r="BU1192" t="s">
        <v>1516</v>
      </c>
      <c r="BV1192" t="s">
        <v>86</v>
      </c>
      <c r="BY1192">
        <v>1200</v>
      </c>
      <c r="CA1192" t="s">
        <v>388</v>
      </c>
      <c r="CC1192" t="s">
        <v>207</v>
      </c>
      <c r="CD1192">
        <v>7405</v>
      </c>
      <c r="CE1192" t="s">
        <v>147</v>
      </c>
      <c r="CF1192" s="3">
        <v>45944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"080068436943"</f>
        <v>080068436943</v>
      </c>
      <c r="F1193" s="3">
        <v>45940</v>
      </c>
      <c r="G1193">
        <v>202607</v>
      </c>
      <c r="H1193" t="s">
        <v>79</v>
      </c>
      <c r="I1193" t="s">
        <v>80</v>
      </c>
      <c r="J1193" t="s">
        <v>91</v>
      </c>
      <c r="K1193" t="s">
        <v>78</v>
      </c>
      <c r="L1193" t="s">
        <v>265</v>
      </c>
      <c r="M1193" t="s">
        <v>266</v>
      </c>
      <c r="N1193" t="s">
        <v>536</v>
      </c>
      <c r="O1193" t="s">
        <v>82</v>
      </c>
      <c r="P1193" t="str">
        <f>"4170063884                    "</f>
        <v xml:space="preserve">4170063884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67.03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3</v>
      </c>
      <c r="BJ1193">
        <v>5.8</v>
      </c>
      <c r="BK1193">
        <v>6</v>
      </c>
      <c r="BL1193">
        <v>212.75</v>
      </c>
      <c r="BM1193">
        <v>31.91</v>
      </c>
      <c r="BN1193">
        <v>244.66</v>
      </c>
      <c r="BO1193">
        <v>244.66</v>
      </c>
      <c r="BQ1193" t="s">
        <v>537</v>
      </c>
      <c r="BR1193" t="s">
        <v>97</v>
      </c>
      <c r="BS1193" s="3">
        <v>45943</v>
      </c>
      <c r="BT1193" s="4">
        <v>0.33402777777777776</v>
      </c>
      <c r="BU1193" t="s">
        <v>1522</v>
      </c>
      <c r="BV1193" t="s">
        <v>86</v>
      </c>
      <c r="BY1193">
        <v>28875</v>
      </c>
      <c r="CA1193" t="s">
        <v>818</v>
      </c>
      <c r="CC1193" t="s">
        <v>266</v>
      </c>
      <c r="CD1193">
        <v>6230</v>
      </c>
      <c r="CE1193" t="s">
        <v>107</v>
      </c>
      <c r="CF1193" s="3">
        <v>45943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"080068437052"</f>
        <v>080068437052</v>
      </c>
      <c r="F1194" s="3">
        <v>45940</v>
      </c>
      <c r="G1194">
        <v>202607</v>
      </c>
      <c r="H1194" t="s">
        <v>79</v>
      </c>
      <c r="I1194" t="s">
        <v>80</v>
      </c>
      <c r="J1194" t="s">
        <v>91</v>
      </c>
      <c r="K1194" t="s">
        <v>78</v>
      </c>
      <c r="L1194" t="s">
        <v>92</v>
      </c>
      <c r="M1194" t="s">
        <v>93</v>
      </c>
      <c r="N1194" t="s">
        <v>597</v>
      </c>
      <c r="O1194" t="s">
        <v>82</v>
      </c>
      <c r="P1194" t="str">
        <f>"4170063843                    "</f>
        <v xml:space="preserve">4170063843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22.36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0.7</v>
      </c>
      <c r="BK1194">
        <v>1</v>
      </c>
      <c r="BL1194">
        <v>70.959999999999994</v>
      </c>
      <c r="BM1194">
        <v>10.64</v>
      </c>
      <c r="BN1194">
        <v>81.599999999999994</v>
      </c>
      <c r="BO1194">
        <v>81.599999999999994</v>
      </c>
      <c r="BQ1194" t="s">
        <v>598</v>
      </c>
      <c r="BR1194" t="s">
        <v>97</v>
      </c>
      <c r="BS1194" s="3">
        <v>45943</v>
      </c>
      <c r="BT1194" s="4">
        <v>0.41666666666666669</v>
      </c>
      <c r="BU1194" t="s">
        <v>1958</v>
      </c>
      <c r="BV1194" t="s">
        <v>86</v>
      </c>
      <c r="BY1194">
        <v>3306</v>
      </c>
      <c r="CC1194" t="s">
        <v>93</v>
      </c>
      <c r="CD1194">
        <v>3201</v>
      </c>
      <c r="CE1194" t="s">
        <v>191</v>
      </c>
      <c r="CF1194" s="3">
        <v>45944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"080068437071"</f>
        <v>080068437071</v>
      </c>
      <c r="F1195" s="3">
        <v>45940</v>
      </c>
      <c r="G1195">
        <v>202607</v>
      </c>
      <c r="H1195" t="s">
        <v>79</v>
      </c>
      <c r="I1195" t="s">
        <v>80</v>
      </c>
      <c r="J1195" t="s">
        <v>91</v>
      </c>
      <c r="K1195" t="s">
        <v>78</v>
      </c>
      <c r="L1195" t="s">
        <v>206</v>
      </c>
      <c r="M1195" t="s">
        <v>207</v>
      </c>
      <c r="N1195" t="s">
        <v>656</v>
      </c>
      <c r="O1195" t="s">
        <v>82</v>
      </c>
      <c r="P1195" t="str">
        <f>"4170063878                    "</f>
        <v xml:space="preserve">4170063878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22.36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</v>
      </c>
      <c r="BJ1195">
        <v>1.4</v>
      </c>
      <c r="BK1195">
        <v>2</v>
      </c>
      <c r="BL1195">
        <v>70.959999999999994</v>
      </c>
      <c r="BM1195">
        <v>10.64</v>
      </c>
      <c r="BN1195">
        <v>81.599999999999994</v>
      </c>
      <c r="BO1195">
        <v>81.599999999999994</v>
      </c>
      <c r="BQ1195" t="s">
        <v>657</v>
      </c>
      <c r="BR1195" t="s">
        <v>97</v>
      </c>
      <c r="BS1195" s="3">
        <v>45943</v>
      </c>
      <c r="BT1195" s="4">
        <v>0.4152777777777778</v>
      </c>
      <c r="BU1195" t="s">
        <v>1442</v>
      </c>
      <c r="BV1195" t="s">
        <v>86</v>
      </c>
      <c r="BY1195">
        <v>7000</v>
      </c>
      <c r="CA1195" t="s">
        <v>770</v>
      </c>
      <c r="CC1195" t="s">
        <v>207</v>
      </c>
      <c r="CD1195">
        <v>7441</v>
      </c>
      <c r="CE1195" t="s">
        <v>191</v>
      </c>
      <c r="CF1195" s="3">
        <v>45944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"080068437116"</f>
        <v>080068437116</v>
      </c>
      <c r="F1196" s="3">
        <v>45940</v>
      </c>
      <c r="G1196">
        <v>202607</v>
      </c>
      <c r="H1196" t="s">
        <v>79</v>
      </c>
      <c r="I1196" t="s">
        <v>80</v>
      </c>
      <c r="J1196" t="s">
        <v>91</v>
      </c>
      <c r="K1196" t="s">
        <v>78</v>
      </c>
      <c r="L1196" t="s">
        <v>206</v>
      </c>
      <c r="M1196" t="s">
        <v>207</v>
      </c>
      <c r="N1196" t="s">
        <v>1129</v>
      </c>
      <c r="O1196" t="s">
        <v>82</v>
      </c>
      <c r="P1196" t="str">
        <f>"4170063829                    "</f>
        <v xml:space="preserve">4170063829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22.36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70.959999999999994</v>
      </c>
      <c r="BM1196">
        <v>10.64</v>
      </c>
      <c r="BN1196">
        <v>81.599999999999994</v>
      </c>
      <c r="BO1196">
        <v>81.599999999999994</v>
      </c>
      <c r="BQ1196" t="s">
        <v>1130</v>
      </c>
      <c r="BR1196" t="s">
        <v>97</v>
      </c>
      <c r="BS1196" s="3">
        <v>45945</v>
      </c>
      <c r="BT1196" s="4">
        <v>0.46388888888888891</v>
      </c>
      <c r="BU1196" t="s">
        <v>554</v>
      </c>
      <c r="BV1196" t="s">
        <v>90</v>
      </c>
      <c r="BY1196">
        <v>1200</v>
      </c>
      <c r="CA1196" t="s">
        <v>555</v>
      </c>
      <c r="CC1196" t="s">
        <v>207</v>
      </c>
      <c r="CD1196">
        <v>8000</v>
      </c>
      <c r="CE1196" t="s">
        <v>147</v>
      </c>
      <c r="CI1196">
        <v>1</v>
      </c>
      <c r="CJ1196">
        <v>3</v>
      </c>
      <c r="CK1196">
        <v>21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"080068438066"</f>
        <v>080068438066</v>
      </c>
      <c r="F1197" s="3">
        <v>45940</v>
      </c>
      <c r="G1197">
        <v>202607</v>
      </c>
      <c r="H1197" t="s">
        <v>79</v>
      </c>
      <c r="I1197" t="s">
        <v>80</v>
      </c>
      <c r="J1197" t="s">
        <v>91</v>
      </c>
      <c r="K1197" t="s">
        <v>78</v>
      </c>
      <c r="L1197" t="s">
        <v>108</v>
      </c>
      <c r="M1197" t="s">
        <v>109</v>
      </c>
      <c r="N1197" t="s">
        <v>229</v>
      </c>
      <c r="O1197" t="s">
        <v>82</v>
      </c>
      <c r="P1197" t="str">
        <f>"4170063820                    "</f>
        <v xml:space="preserve">4170063820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22.36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70.959999999999994</v>
      </c>
      <c r="BM1197">
        <v>10.64</v>
      </c>
      <c r="BN1197">
        <v>81.599999999999994</v>
      </c>
      <c r="BO1197">
        <v>81.599999999999994</v>
      </c>
      <c r="BQ1197" t="s">
        <v>230</v>
      </c>
      <c r="BR1197" t="s">
        <v>97</v>
      </c>
      <c r="BS1197" s="3">
        <v>45943</v>
      </c>
      <c r="BT1197" s="4">
        <v>0.36666666666666664</v>
      </c>
      <c r="BU1197" t="s">
        <v>1959</v>
      </c>
      <c r="BV1197" t="s">
        <v>86</v>
      </c>
      <c r="BY1197">
        <v>1200</v>
      </c>
      <c r="CA1197" t="s">
        <v>1145</v>
      </c>
      <c r="CC1197" t="s">
        <v>109</v>
      </c>
      <c r="CD1197">
        <v>6001</v>
      </c>
      <c r="CE1197" t="s">
        <v>147</v>
      </c>
      <c r="CF1197" s="3">
        <v>45943</v>
      </c>
      <c r="CI1197">
        <v>1</v>
      </c>
      <c r="CJ1197">
        <v>1</v>
      </c>
      <c r="CK1197">
        <v>21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"080068438103"</f>
        <v>080068438103</v>
      </c>
      <c r="F1198" s="3">
        <v>45940</v>
      </c>
      <c r="G1198">
        <v>202607</v>
      </c>
      <c r="H1198" t="s">
        <v>79</v>
      </c>
      <c r="I1198" t="s">
        <v>80</v>
      </c>
      <c r="J1198" t="s">
        <v>91</v>
      </c>
      <c r="K1198" t="s">
        <v>78</v>
      </c>
      <c r="L1198" t="s">
        <v>148</v>
      </c>
      <c r="M1198" t="s">
        <v>149</v>
      </c>
      <c r="N1198" t="s">
        <v>465</v>
      </c>
      <c r="O1198" t="s">
        <v>82</v>
      </c>
      <c r="P1198" t="str">
        <f>"4170063824                    "</f>
        <v xml:space="preserve">4170063824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17.46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55.42</v>
      </c>
      <c r="BM1198">
        <v>8.31</v>
      </c>
      <c r="BN1198">
        <v>63.73</v>
      </c>
      <c r="BO1198">
        <v>63.73</v>
      </c>
      <c r="BQ1198" t="s">
        <v>466</v>
      </c>
      <c r="BR1198" t="s">
        <v>97</v>
      </c>
      <c r="BS1198" s="3">
        <v>45943</v>
      </c>
      <c r="BT1198" s="4">
        <v>0.35486111111111113</v>
      </c>
      <c r="BU1198" t="s">
        <v>518</v>
      </c>
      <c r="BV1198" t="s">
        <v>86</v>
      </c>
      <c r="BY1198">
        <v>1200</v>
      </c>
      <c r="CA1198" t="s">
        <v>519</v>
      </c>
      <c r="CC1198" t="s">
        <v>149</v>
      </c>
      <c r="CD1198">
        <v>2094</v>
      </c>
      <c r="CE1198" t="s">
        <v>147</v>
      </c>
      <c r="CF1198" s="3">
        <v>45943</v>
      </c>
      <c r="CI1198">
        <v>1</v>
      </c>
      <c r="CJ1198">
        <v>1</v>
      </c>
      <c r="CK1198">
        <v>22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"080068438117"</f>
        <v>080068438117</v>
      </c>
      <c r="F1199" s="3">
        <v>45940</v>
      </c>
      <c r="G1199">
        <v>202607</v>
      </c>
      <c r="H1199" t="s">
        <v>79</v>
      </c>
      <c r="I1199" t="s">
        <v>80</v>
      </c>
      <c r="J1199" t="s">
        <v>91</v>
      </c>
      <c r="K1199" t="s">
        <v>78</v>
      </c>
      <c r="L1199" t="s">
        <v>92</v>
      </c>
      <c r="M1199" t="s">
        <v>93</v>
      </c>
      <c r="N1199" t="s">
        <v>1871</v>
      </c>
      <c r="O1199" t="s">
        <v>82</v>
      </c>
      <c r="P1199" t="str">
        <f>"4170063840                    "</f>
        <v xml:space="preserve">4170063840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22.36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16.739999999999998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87.7</v>
      </c>
      <c r="BM1199">
        <v>13.16</v>
      </c>
      <c r="BN1199">
        <v>100.86</v>
      </c>
      <c r="BO1199">
        <v>100.86</v>
      </c>
      <c r="BQ1199" t="s">
        <v>1872</v>
      </c>
      <c r="BR1199" t="s">
        <v>97</v>
      </c>
      <c r="BS1199" s="3">
        <v>45943</v>
      </c>
      <c r="BT1199" s="4">
        <v>0.44722222222222224</v>
      </c>
      <c r="BU1199" t="s">
        <v>1873</v>
      </c>
      <c r="BV1199" t="s">
        <v>86</v>
      </c>
      <c r="BY1199">
        <v>1200</v>
      </c>
      <c r="BZ1199" t="s">
        <v>30</v>
      </c>
      <c r="CA1199" t="s">
        <v>1699</v>
      </c>
      <c r="CC1199" t="s">
        <v>93</v>
      </c>
      <c r="CD1199">
        <v>3699</v>
      </c>
      <c r="CE1199" t="s">
        <v>147</v>
      </c>
      <c r="CF1199" s="3">
        <v>45944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"080068438148"</f>
        <v>080068438148</v>
      </c>
      <c r="F1200" s="3">
        <v>45940</v>
      </c>
      <c r="G1200">
        <v>202607</v>
      </c>
      <c r="H1200" t="s">
        <v>79</v>
      </c>
      <c r="I1200" t="s">
        <v>80</v>
      </c>
      <c r="J1200" t="s">
        <v>91</v>
      </c>
      <c r="K1200" t="s">
        <v>78</v>
      </c>
      <c r="L1200" t="s">
        <v>108</v>
      </c>
      <c r="M1200" t="s">
        <v>109</v>
      </c>
      <c r="N1200" t="s">
        <v>1567</v>
      </c>
      <c r="O1200" t="s">
        <v>82</v>
      </c>
      <c r="P1200" t="str">
        <f>"4170063816                    "</f>
        <v xml:space="preserve">4170063816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72.62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4</v>
      </c>
      <c r="BJ1200">
        <v>6.1</v>
      </c>
      <c r="BK1200">
        <v>6.5</v>
      </c>
      <c r="BL1200">
        <v>230.48</v>
      </c>
      <c r="BM1200">
        <v>34.57</v>
      </c>
      <c r="BN1200">
        <v>265.05</v>
      </c>
      <c r="BO1200">
        <v>265.05</v>
      </c>
      <c r="BQ1200" t="s">
        <v>1568</v>
      </c>
      <c r="BR1200" t="s">
        <v>97</v>
      </c>
      <c r="BS1200" s="3">
        <v>45943</v>
      </c>
      <c r="BT1200" s="4">
        <v>0.39166666666666666</v>
      </c>
      <c r="BU1200" t="s">
        <v>1960</v>
      </c>
      <c r="BV1200" t="s">
        <v>86</v>
      </c>
      <c r="BY1200">
        <v>30492</v>
      </c>
      <c r="CA1200" t="s">
        <v>559</v>
      </c>
      <c r="CC1200" t="s">
        <v>109</v>
      </c>
      <c r="CD1200">
        <v>6000</v>
      </c>
      <c r="CE1200" t="s">
        <v>107</v>
      </c>
      <c r="CF1200" s="3">
        <v>45943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"080068438175"</f>
        <v>080068438175</v>
      </c>
      <c r="F1201" s="3">
        <v>45940</v>
      </c>
      <c r="G1201">
        <v>202607</v>
      </c>
      <c r="H1201" t="s">
        <v>79</v>
      </c>
      <c r="I1201" t="s">
        <v>80</v>
      </c>
      <c r="J1201" t="s">
        <v>91</v>
      </c>
      <c r="K1201" t="s">
        <v>78</v>
      </c>
      <c r="L1201" t="s">
        <v>265</v>
      </c>
      <c r="M1201" t="s">
        <v>266</v>
      </c>
      <c r="N1201" t="s">
        <v>536</v>
      </c>
      <c r="O1201" t="s">
        <v>82</v>
      </c>
      <c r="P1201" t="str">
        <f>"4170063883                    "</f>
        <v xml:space="preserve">4170063883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44.69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3.8</v>
      </c>
      <c r="BK1201">
        <v>4</v>
      </c>
      <c r="BL1201">
        <v>141.85</v>
      </c>
      <c r="BM1201">
        <v>21.28</v>
      </c>
      <c r="BN1201">
        <v>163.13</v>
      </c>
      <c r="BO1201">
        <v>163.13</v>
      </c>
      <c r="BQ1201" t="s">
        <v>537</v>
      </c>
      <c r="BR1201" t="s">
        <v>97</v>
      </c>
      <c r="BS1201" s="3">
        <v>45943</v>
      </c>
      <c r="BT1201" s="4">
        <v>0.33333333333333331</v>
      </c>
      <c r="BU1201" t="s">
        <v>1522</v>
      </c>
      <c r="BV1201" t="s">
        <v>86</v>
      </c>
      <c r="BY1201">
        <v>19140</v>
      </c>
      <c r="CA1201" t="s">
        <v>818</v>
      </c>
      <c r="CC1201" t="s">
        <v>266</v>
      </c>
      <c r="CD1201">
        <v>6230</v>
      </c>
      <c r="CE1201" t="s">
        <v>107</v>
      </c>
      <c r="CF1201" s="3">
        <v>45943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"080068438273"</f>
        <v>080068438273</v>
      </c>
      <c r="F1202" s="3">
        <v>45940</v>
      </c>
      <c r="G1202">
        <v>202607</v>
      </c>
      <c r="H1202" t="s">
        <v>79</v>
      </c>
      <c r="I1202" t="s">
        <v>80</v>
      </c>
      <c r="J1202" t="s">
        <v>91</v>
      </c>
      <c r="K1202" t="s">
        <v>78</v>
      </c>
      <c r="L1202" t="s">
        <v>233</v>
      </c>
      <c r="M1202" t="s">
        <v>234</v>
      </c>
      <c r="N1202" t="s">
        <v>908</v>
      </c>
      <c r="O1202" t="s">
        <v>82</v>
      </c>
      <c r="P1202" t="str">
        <f>"4170063834                    "</f>
        <v xml:space="preserve">4170063834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22.36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0.9</v>
      </c>
      <c r="BK1202">
        <v>1</v>
      </c>
      <c r="BL1202">
        <v>70.959999999999994</v>
      </c>
      <c r="BM1202">
        <v>10.64</v>
      </c>
      <c r="BN1202">
        <v>81.599999999999994</v>
      </c>
      <c r="BO1202">
        <v>81.599999999999994</v>
      </c>
      <c r="BQ1202" t="s">
        <v>909</v>
      </c>
      <c r="BR1202" t="s">
        <v>97</v>
      </c>
      <c r="BS1202" s="3">
        <v>45943</v>
      </c>
      <c r="BT1202" s="4">
        <v>0.36180555555555555</v>
      </c>
      <c r="BU1202" t="s">
        <v>1961</v>
      </c>
      <c r="BV1202" t="s">
        <v>86</v>
      </c>
      <c r="BY1202">
        <v>4275</v>
      </c>
      <c r="CC1202" t="s">
        <v>234</v>
      </c>
      <c r="CD1202" s="5" t="s">
        <v>238</v>
      </c>
      <c r="CE1202" t="s">
        <v>191</v>
      </c>
      <c r="CF1202" s="3">
        <v>45943</v>
      </c>
      <c r="CI1202">
        <v>1</v>
      </c>
      <c r="CJ1202">
        <v>1</v>
      </c>
      <c r="CK1202">
        <v>21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"080068438310"</f>
        <v>080068438310</v>
      </c>
      <c r="F1203" s="3">
        <v>45940</v>
      </c>
      <c r="G1203">
        <v>202607</v>
      </c>
      <c r="H1203" t="s">
        <v>79</v>
      </c>
      <c r="I1203" t="s">
        <v>80</v>
      </c>
      <c r="J1203" t="s">
        <v>91</v>
      </c>
      <c r="K1203" t="s">
        <v>78</v>
      </c>
      <c r="L1203" t="s">
        <v>788</v>
      </c>
      <c r="M1203" t="s">
        <v>789</v>
      </c>
      <c r="N1203" t="s">
        <v>790</v>
      </c>
      <c r="O1203" t="s">
        <v>82</v>
      </c>
      <c r="P1203" t="str">
        <f>"4170063827                    "</f>
        <v xml:space="preserve">4170063827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43.31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0.7</v>
      </c>
      <c r="BK1203">
        <v>2</v>
      </c>
      <c r="BL1203">
        <v>137.47</v>
      </c>
      <c r="BM1203">
        <v>20.62</v>
      </c>
      <c r="BN1203">
        <v>158.09</v>
      </c>
      <c r="BO1203">
        <v>158.09</v>
      </c>
      <c r="BQ1203" t="s">
        <v>791</v>
      </c>
      <c r="BR1203" t="s">
        <v>97</v>
      </c>
      <c r="BS1203" s="3">
        <v>45943</v>
      </c>
      <c r="BT1203" s="4">
        <v>0.68263888888888891</v>
      </c>
      <c r="BU1203" t="s">
        <v>792</v>
      </c>
      <c r="BV1203" t="s">
        <v>90</v>
      </c>
      <c r="BY1203">
        <v>3306</v>
      </c>
      <c r="CA1203" t="s">
        <v>793</v>
      </c>
      <c r="CC1203" t="s">
        <v>789</v>
      </c>
      <c r="CD1203">
        <v>3290</v>
      </c>
      <c r="CE1203" t="s">
        <v>191</v>
      </c>
      <c r="CF1203" s="3">
        <v>45944</v>
      </c>
      <c r="CI1203">
        <v>1</v>
      </c>
      <c r="CJ1203">
        <v>1</v>
      </c>
      <c r="CK1203">
        <v>23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"080068438345"</f>
        <v>080068438345</v>
      </c>
      <c r="F1204" s="3">
        <v>45940</v>
      </c>
      <c r="G1204">
        <v>202607</v>
      </c>
      <c r="H1204" t="s">
        <v>79</v>
      </c>
      <c r="I1204" t="s">
        <v>80</v>
      </c>
      <c r="J1204" t="s">
        <v>91</v>
      </c>
      <c r="K1204" t="s">
        <v>78</v>
      </c>
      <c r="L1204" t="s">
        <v>168</v>
      </c>
      <c r="M1204" t="s">
        <v>169</v>
      </c>
      <c r="N1204" t="s">
        <v>976</v>
      </c>
      <c r="O1204" t="s">
        <v>82</v>
      </c>
      <c r="P1204" t="str">
        <f>"4170063886                    "</f>
        <v xml:space="preserve">4170063886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33.520000000000003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3</v>
      </c>
      <c r="BJ1204">
        <v>1.1000000000000001</v>
      </c>
      <c r="BK1204">
        <v>3</v>
      </c>
      <c r="BL1204">
        <v>106.4</v>
      </c>
      <c r="BM1204">
        <v>15.96</v>
      </c>
      <c r="BN1204">
        <v>122.36</v>
      </c>
      <c r="BO1204">
        <v>122.36</v>
      </c>
      <c r="BQ1204" t="s">
        <v>977</v>
      </c>
      <c r="BR1204" t="s">
        <v>97</v>
      </c>
      <c r="BS1204" s="3">
        <v>45943</v>
      </c>
      <c r="BT1204" s="4">
        <v>0.42986111111111114</v>
      </c>
      <c r="BU1204" t="s">
        <v>1962</v>
      </c>
      <c r="BV1204" t="s">
        <v>86</v>
      </c>
      <c r="BY1204">
        <v>5510</v>
      </c>
      <c r="CC1204" t="s">
        <v>169</v>
      </c>
      <c r="CD1204" s="5" t="s">
        <v>979</v>
      </c>
      <c r="CE1204" t="s">
        <v>191</v>
      </c>
      <c r="CF1204" s="3">
        <v>45943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"080068438375"</f>
        <v>080068438375</v>
      </c>
      <c r="F1205" s="3">
        <v>45940</v>
      </c>
      <c r="G1205">
        <v>202607</v>
      </c>
      <c r="H1205" t="s">
        <v>79</v>
      </c>
      <c r="I1205" t="s">
        <v>80</v>
      </c>
      <c r="J1205" t="s">
        <v>91</v>
      </c>
      <c r="K1205" t="s">
        <v>78</v>
      </c>
      <c r="L1205" t="s">
        <v>605</v>
      </c>
      <c r="M1205" t="s">
        <v>606</v>
      </c>
      <c r="N1205" t="s">
        <v>607</v>
      </c>
      <c r="O1205" t="s">
        <v>82</v>
      </c>
      <c r="P1205" t="str">
        <f>"4170063877                    "</f>
        <v xml:space="preserve">4170063877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43.31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1.1000000000000001</v>
      </c>
      <c r="BK1205">
        <v>1.5</v>
      </c>
      <c r="BL1205">
        <v>137.47</v>
      </c>
      <c r="BM1205">
        <v>20.62</v>
      </c>
      <c r="BN1205">
        <v>158.09</v>
      </c>
      <c r="BO1205">
        <v>158.09</v>
      </c>
      <c r="BQ1205" t="s">
        <v>608</v>
      </c>
      <c r="BR1205" t="s">
        <v>97</v>
      </c>
      <c r="BS1205" s="3">
        <v>45943</v>
      </c>
      <c r="BT1205" s="4">
        <v>0.33402777777777776</v>
      </c>
      <c r="BU1205" t="s">
        <v>609</v>
      </c>
      <c r="BV1205" t="s">
        <v>86</v>
      </c>
      <c r="BY1205">
        <v>5510</v>
      </c>
      <c r="CA1205" t="s">
        <v>1143</v>
      </c>
      <c r="CC1205" t="s">
        <v>606</v>
      </c>
      <c r="CD1205">
        <v>1947</v>
      </c>
      <c r="CE1205" t="s">
        <v>191</v>
      </c>
      <c r="CF1205" s="3">
        <v>45944</v>
      </c>
      <c r="CI1205">
        <v>1</v>
      </c>
      <c r="CJ1205">
        <v>1</v>
      </c>
      <c r="CK1205">
        <v>23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"080068438643"</f>
        <v>080068438643</v>
      </c>
      <c r="F1206" s="3">
        <v>45940</v>
      </c>
      <c r="G1206">
        <v>202607</v>
      </c>
      <c r="H1206" t="s">
        <v>79</v>
      </c>
      <c r="I1206" t="s">
        <v>80</v>
      </c>
      <c r="J1206" t="s">
        <v>91</v>
      </c>
      <c r="K1206" t="s">
        <v>78</v>
      </c>
      <c r="L1206" t="s">
        <v>853</v>
      </c>
      <c r="M1206" t="s">
        <v>854</v>
      </c>
      <c r="N1206" t="s">
        <v>1963</v>
      </c>
      <c r="O1206" t="s">
        <v>82</v>
      </c>
      <c r="P1206" t="str">
        <f>"4170063885                    "</f>
        <v xml:space="preserve">4170063885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22.36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70.959999999999994</v>
      </c>
      <c r="BM1206">
        <v>10.64</v>
      </c>
      <c r="BN1206">
        <v>81.599999999999994</v>
      </c>
      <c r="BO1206">
        <v>81.599999999999994</v>
      </c>
      <c r="BQ1206" t="s">
        <v>1964</v>
      </c>
      <c r="BR1206" t="s">
        <v>97</v>
      </c>
      <c r="BS1206" s="3">
        <v>45943</v>
      </c>
      <c r="BT1206" s="4">
        <v>0.42638888888888887</v>
      </c>
      <c r="BU1206" t="s">
        <v>1965</v>
      </c>
      <c r="BV1206" t="s">
        <v>86</v>
      </c>
      <c r="BY1206">
        <v>1200</v>
      </c>
      <c r="CA1206" t="s">
        <v>859</v>
      </c>
      <c r="CC1206" t="s">
        <v>854</v>
      </c>
      <c r="CD1206">
        <v>4120</v>
      </c>
      <c r="CE1206" t="s">
        <v>147</v>
      </c>
      <c r="CF1206" s="3">
        <v>45943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"080068438681"</f>
        <v>080068438681</v>
      </c>
      <c r="F1207" s="3">
        <v>45940</v>
      </c>
      <c r="G1207">
        <v>202607</v>
      </c>
      <c r="H1207" t="s">
        <v>79</v>
      </c>
      <c r="I1207" t="s">
        <v>80</v>
      </c>
      <c r="J1207" t="s">
        <v>91</v>
      </c>
      <c r="K1207" t="s">
        <v>78</v>
      </c>
      <c r="L1207" t="s">
        <v>206</v>
      </c>
      <c r="M1207" t="s">
        <v>207</v>
      </c>
      <c r="N1207" t="s">
        <v>1966</v>
      </c>
      <c r="O1207" t="s">
        <v>82</v>
      </c>
      <c r="P1207" t="str">
        <f>"4170063817                    "</f>
        <v xml:space="preserve">4170063817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22.36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70.959999999999994</v>
      </c>
      <c r="BM1207">
        <v>10.64</v>
      </c>
      <c r="BN1207">
        <v>81.599999999999994</v>
      </c>
      <c r="BO1207">
        <v>81.599999999999994</v>
      </c>
      <c r="BQ1207" t="s">
        <v>1967</v>
      </c>
      <c r="BR1207" t="s">
        <v>97</v>
      </c>
      <c r="BS1207" s="3">
        <v>45943</v>
      </c>
      <c r="BT1207" s="4">
        <v>0.35</v>
      </c>
      <c r="BU1207" t="s">
        <v>1055</v>
      </c>
      <c r="BV1207" t="s">
        <v>86</v>
      </c>
      <c r="BY1207">
        <v>1200</v>
      </c>
      <c r="CA1207" t="s">
        <v>480</v>
      </c>
      <c r="CC1207" t="s">
        <v>207</v>
      </c>
      <c r="CD1207">
        <v>7480</v>
      </c>
      <c r="CE1207" t="s">
        <v>147</v>
      </c>
      <c r="CF1207" s="3">
        <v>45944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"080068438738"</f>
        <v>080068438738</v>
      </c>
      <c r="F1208" s="3">
        <v>45940</v>
      </c>
      <c r="G1208">
        <v>202607</v>
      </c>
      <c r="H1208" t="s">
        <v>79</v>
      </c>
      <c r="I1208" t="s">
        <v>80</v>
      </c>
      <c r="J1208" t="s">
        <v>91</v>
      </c>
      <c r="K1208" t="s">
        <v>78</v>
      </c>
      <c r="L1208" t="s">
        <v>223</v>
      </c>
      <c r="M1208" t="s">
        <v>224</v>
      </c>
      <c r="N1208" t="s">
        <v>1968</v>
      </c>
      <c r="O1208" t="s">
        <v>82</v>
      </c>
      <c r="P1208" t="str">
        <f>"4170063856                    "</f>
        <v xml:space="preserve">4170063856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17.46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55.42</v>
      </c>
      <c r="BM1208">
        <v>8.31</v>
      </c>
      <c r="BN1208">
        <v>63.73</v>
      </c>
      <c r="BO1208">
        <v>63.73</v>
      </c>
      <c r="BQ1208" t="s">
        <v>1969</v>
      </c>
      <c r="BR1208" t="s">
        <v>97</v>
      </c>
      <c r="BS1208" s="3">
        <v>45943</v>
      </c>
      <c r="BT1208" s="4">
        <v>0.33402777777777776</v>
      </c>
      <c r="BU1208" t="s">
        <v>1970</v>
      </c>
      <c r="BV1208" t="s">
        <v>86</v>
      </c>
      <c r="BY1208">
        <v>1200</v>
      </c>
      <c r="CA1208" t="s">
        <v>1110</v>
      </c>
      <c r="CC1208" t="s">
        <v>224</v>
      </c>
      <c r="CD1208">
        <v>1460</v>
      </c>
      <c r="CE1208" t="s">
        <v>147</v>
      </c>
      <c r="CF1208" s="3">
        <v>45943</v>
      </c>
      <c r="CI1208">
        <v>1</v>
      </c>
      <c r="CJ1208">
        <v>1</v>
      </c>
      <c r="CK1208">
        <v>22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"080068438781"</f>
        <v>080068438781</v>
      </c>
      <c r="F1209" s="3">
        <v>45940</v>
      </c>
      <c r="G1209">
        <v>202607</v>
      </c>
      <c r="H1209" t="s">
        <v>79</v>
      </c>
      <c r="I1209" t="s">
        <v>80</v>
      </c>
      <c r="J1209" t="s">
        <v>91</v>
      </c>
      <c r="K1209" t="s">
        <v>78</v>
      </c>
      <c r="L1209" t="s">
        <v>108</v>
      </c>
      <c r="M1209" t="s">
        <v>109</v>
      </c>
      <c r="N1209" t="s">
        <v>1203</v>
      </c>
      <c r="O1209" t="s">
        <v>82</v>
      </c>
      <c r="P1209" t="str">
        <f>"4170063862                    "</f>
        <v xml:space="preserve">4170063862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67.03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3</v>
      </c>
      <c r="BJ1209">
        <v>5.7</v>
      </c>
      <c r="BK1209">
        <v>6</v>
      </c>
      <c r="BL1209">
        <v>212.75</v>
      </c>
      <c r="BM1209">
        <v>31.91</v>
      </c>
      <c r="BN1209">
        <v>244.66</v>
      </c>
      <c r="BO1209">
        <v>244.66</v>
      </c>
      <c r="BQ1209" t="s">
        <v>1204</v>
      </c>
      <c r="BR1209" t="s">
        <v>97</v>
      </c>
      <c r="BS1209" s="3">
        <v>45943</v>
      </c>
      <c r="BT1209" s="4">
        <v>0.39930555555555558</v>
      </c>
      <c r="BU1209" t="s">
        <v>1971</v>
      </c>
      <c r="BV1209" t="s">
        <v>86</v>
      </c>
      <c r="BY1209">
        <v>28512</v>
      </c>
      <c r="CA1209" t="s">
        <v>1090</v>
      </c>
      <c r="CC1209" t="s">
        <v>109</v>
      </c>
      <c r="CD1209">
        <v>6012</v>
      </c>
      <c r="CE1209" t="s">
        <v>107</v>
      </c>
      <c r="CF1209" s="3">
        <v>45943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"080068438848"</f>
        <v>080068438848</v>
      </c>
      <c r="F1210" s="3">
        <v>45940</v>
      </c>
      <c r="G1210">
        <v>202607</v>
      </c>
      <c r="H1210" t="s">
        <v>79</v>
      </c>
      <c r="I1210" t="s">
        <v>80</v>
      </c>
      <c r="J1210" t="s">
        <v>91</v>
      </c>
      <c r="K1210" t="s">
        <v>78</v>
      </c>
      <c r="L1210" t="s">
        <v>206</v>
      </c>
      <c r="M1210" t="s">
        <v>207</v>
      </c>
      <c r="N1210" t="s">
        <v>1972</v>
      </c>
      <c r="O1210" t="s">
        <v>82</v>
      </c>
      <c r="P1210" t="str">
        <f>"4170063887                    "</f>
        <v xml:space="preserve">4170063887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33.520000000000003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3</v>
      </c>
      <c r="BJ1210">
        <v>1.8</v>
      </c>
      <c r="BK1210">
        <v>3</v>
      </c>
      <c r="BL1210">
        <v>106.4</v>
      </c>
      <c r="BM1210">
        <v>15.96</v>
      </c>
      <c r="BN1210">
        <v>122.36</v>
      </c>
      <c r="BO1210">
        <v>122.36</v>
      </c>
      <c r="BQ1210" t="s">
        <v>1973</v>
      </c>
      <c r="BR1210" t="s">
        <v>97</v>
      </c>
      <c r="BS1210" s="3">
        <v>45943</v>
      </c>
      <c r="BT1210" s="4">
        <v>0.50555555555555554</v>
      </c>
      <c r="BU1210" t="s">
        <v>1269</v>
      </c>
      <c r="BV1210" t="s">
        <v>86</v>
      </c>
      <c r="BY1210">
        <v>8816</v>
      </c>
      <c r="CA1210" t="s">
        <v>1974</v>
      </c>
      <c r="CC1210" t="s">
        <v>207</v>
      </c>
      <c r="CD1210">
        <v>7975</v>
      </c>
      <c r="CE1210" t="s">
        <v>191</v>
      </c>
      <c r="CF1210" s="3">
        <v>45944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"080068438884"</f>
        <v>080068438884</v>
      </c>
      <c r="F1211" s="3">
        <v>45940</v>
      </c>
      <c r="G1211">
        <v>202607</v>
      </c>
      <c r="H1211" t="s">
        <v>79</v>
      </c>
      <c r="I1211" t="s">
        <v>80</v>
      </c>
      <c r="J1211" t="s">
        <v>91</v>
      </c>
      <c r="K1211" t="s">
        <v>78</v>
      </c>
      <c r="L1211" t="s">
        <v>92</v>
      </c>
      <c r="M1211" t="s">
        <v>93</v>
      </c>
      <c r="N1211" t="s">
        <v>1179</v>
      </c>
      <c r="O1211" t="s">
        <v>82</v>
      </c>
      <c r="P1211" t="str">
        <f>"4170063838                    "</f>
        <v xml:space="preserve">4170063838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44.69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16.739999999999998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3.9</v>
      </c>
      <c r="BK1211">
        <v>4</v>
      </c>
      <c r="BL1211">
        <v>158.59</v>
      </c>
      <c r="BM1211">
        <v>23.79</v>
      </c>
      <c r="BN1211">
        <v>182.38</v>
      </c>
      <c r="BO1211">
        <v>182.38</v>
      </c>
      <c r="BQ1211" t="s">
        <v>1180</v>
      </c>
      <c r="BR1211" t="s">
        <v>97</v>
      </c>
      <c r="BS1211" s="3">
        <v>45943</v>
      </c>
      <c r="BT1211" s="4">
        <v>0.39930555555555558</v>
      </c>
      <c r="BU1211" t="s">
        <v>1975</v>
      </c>
      <c r="BV1211" t="s">
        <v>86</v>
      </c>
      <c r="BY1211">
        <v>19404</v>
      </c>
      <c r="BZ1211" t="s">
        <v>30</v>
      </c>
      <c r="CA1211" t="s">
        <v>1699</v>
      </c>
      <c r="CC1211" t="s">
        <v>93</v>
      </c>
      <c r="CD1211">
        <v>3699</v>
      </c>
      <c r="CE1211" t="s">
        <v>107</v>
      </c>
      <c r="CF1211" s="3">
        <v>45944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"080068438910"</f>
        <v>080068438910</v>
      </c>
      <c r="F1212" s="3">
        <v>45940</v>
      </c>
      <c r="G1212">
        <v>202607</v>
      </c>
      <c r="H1212" t="s">
        <v>79</v>
      </c>
      <c r="I1212" t="s">
        <v>80</v>
      </c>
      <c r="J1212" t="s">
        <v>91</v>
      </c>
      <c r="K1212" t="s">
        <v>78</v>
      </c>
      <c r="L1212" t="s">
        <v>79</v>
      </c>
      <c r="M1212" t="s">
        <v>80</v>
      </c>
      <c r="N1212" t="s">
        <v>577</v>
      </c>
      <c r="O1212" t="s">
        <v>82</v>
      </c>
      <c r="P1212" t="str">
        <f>"4170063861                    "</f>
        <v xml:space="preserve">4170063861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17.46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</v>
      </c>
      <c r="BJ1212">
        <v>1.1000000000000001</v>
      </c>
      <c r="BK1212">
        <v>2</v>
      </c>
      <c r="BL1212">
        <v>55.42</v>
      </c>
      <c r="BM1212">
        <v>8.31</v>
      </c>
      <c r="BN1212">
        <v>63.73</v>
      </c>
      <c r="BO1212">
        <v>63.73</v>
      </c>
      <c r="BQ1212" t="s">
        <v>578</v>
      </c>
      <c r="BR1212" t="s">
        <v>97</v>
      </c>
      <c r="BS1212" s="3">
        <v>45943</v>
      </c>
      <c r="BT1212" s="4">
        <v>0.41666666666666669</v>
      </c>
      <c r="BU1212" t="s">
        <v>1956</v>
      </c>
      <c r="BV1212" t="s">
        <v>86</v>
      </c>
      <c r="BY1212">
        <v>5510</v>
      </c>
      <c r="CA1212" t="s">
        <v>1957</v>
      </c>
      <c r="CC1212" t="s">
        <v>80</v>
      </c>
      <c r="CD1212">
        <v>1619</v>
      </c>
      <c r="CE1212" t="s">
        <v>191</v>
      </c>
      <c r="CF1212" s="3">
        <v>45943</v>
      </c>
      <c r="CI1212">
        <v>1</v>
      </c>
      <c r="CJ1212">
        <v>1</v>
      </c>
      <c r="CK1212">
        <v>22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"080068439036"</f>
        <v>080068439036</v>
      </c>
      <c r="F1213" s="3">
        <v>45940</v>
      </c>
      <c r="G1213">
        <v>202607</v>
      </c>
      <c r="H1213" t="s">
        <v>79</v>
      </c>
      <c r="I1213" t="s">
        <v>80</v>
      </c>
      <c r="J1213" t="s">
        <v>91</v>
      </c>
      <c r="K1213" t="s">
        <v>78</v>
      </c>
      <c r="L1213" t="s">
        <v>946</v>
      </c>
      <c r="M1213" t="s">
        <v>947</v>
      </c>
      <c r="N1213" t="s">
        <v>948</v>
      </c>
      <c r="O1213" t="s">
        <v>82</v>
      </c>
      <c r="P1213" t="str">
        <f>"4170063869                    "</f>
        <v xml:space="preserve">4170063869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43.31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1.1000000000000001</v>
      </c>
      <c r="BK1213">
        <v>1.5</v>
      </c>
      <c r="BL1213">
        <v>137.47</v>
      </c>
      <c r="BM1213">
        <v>20.62</v>
      </c>
      <c r="BN1213">
        <v>158.09</v>
      </c>
      <c r="BO1213">
        <v>158.09</v>
      </c>
      <c r="BQ1213" t="s">
        <v>949</v>
      </c>
      <c r="BR1213" t="s">
        <v>97</v>
      </c>
      <c r="BS1213" s="3">
        <v>45943</v>
      </c>
      <c r="BT1213" s="4">
        <v>0.55069444444444449</v>
      </c>
      <c r="BU1213" t="s">
        <v>1444</v>
      </c>
      <c r="BV1213" t="s">
        <v>86</v>
      </c>
      <c r="BY1213">
        <v>5510</v>
      </c>
      <c r="CA1213" t="s">
        <v>951</v>
      </c>
      <c r="CC1213" t="s">
        <v>947</v>
      </c>
      <c r="CD1213">
        <v>6500</v>
      </c>
      <c r="CE1213" t="s">
        <v>191</v>
      </c>
      <c r="CF1213" s="3">
        <v>45944</v>
      </c>
      <c r="CI1213">
        <v>1</v>
      </c>
      <c r="CJ1213">
        <v>1</v>
      </c>
      <c r="CK1213">
        <v>23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"080068439085"</f>
        <v>080068439085</v>
      </c>
      <c r="F1214" s="3">
        <v>45940</v>
      </c>
      <c r="G1214">
        <v>202607</v>
      </c>
      <c r="H1214" t="s">
        <v>79</v>
      </c>
      <c r="I1214" t="s">
        <v>80</v>
      </c>
      <c r="J1214" t="s">
        <v>91</v>
      </c>
      <c r="K1214" t="s">
        <v>78</v>
      </c>
      <c r="L1214" t="s">
        <v>218</v>
      </c>
      <c r="M1214" t="s">
        <v>219</v>
      </c>
      <c r="N1214" t="s">
        <v>1976</v>
      </c>
      <c r="O1214" t="s">
        <v>82</v>
      </c>
      <c r="P1214" t="str">
        <f>"4170063842                    "</f>
        <v xml:space="preserve">4170063842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17.46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1.7</v>
      </c>
      <c r="BK1214">
        <v>2</v>
      </c>
      <c r="BL1214">
        <v>55.42</v>
      </c>
      <c r="BM1214">
        <v>8.31</v>
      </c>
      <c r="BN1214">
        <v>63.73</v>
      </c>
      <c r="BO1214">
        <v>63.73</v>
      </c>
      <c r="BQ1214" t="s">
        <v>1977</v>
      </c>
      <c r="BR1214" t="s">
        <v>97</v>
      </c>
      <c r="BS1214" s="3">
        <v>45943</v>
      </c>
      <c r="BT1214" s="4">
        <v>0.44374999999999998</v>
      </c>
      <c r="BU1214" t="s">
        <v>1978</v>
      </c>
      <c r="BV1214" t="s">
        <v>90</v>
      </c>
      <c r="BW1214" t="s">
        <v>771</v>
      </c>
      <c r="BX1214" t="s">
        <v>903</v>
      </c>
      <c r="BY1214">
        <v>8550</v>
      </c>
      <c r="CA1214" t="s">
        <v>1979</v>
      </c>
      <c r="CC1214" t="s">
        <v>219</v>
      </c>
      <c r="CD1214">
        <v>1559</v>
      </c>
      <c r="CE1214" t="s">
        <v>191</v>
      </c>
      <c r="CF1214" s="3">
        <v>45943</v>
      </c>
      <c r="CI1214">
        <v>1</v>
      </c>
      <c r="CJ1214">
        <v>1</v>
      </c>
      <c r="CK1214">
        <v>22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"080068439599"</f>
        <v>080068439599</v>
      </c>
      <c r="F1215" s="3">
        <v>45940</v>
      </c>
      <c r="G1215">
        <v>202607</v>
      </c>
      <c r="H1215" t="s">
        <v>79</v>
      </c>
      <c r="I1215" t="s">
        <v>80</v>
      </c>
      <c r="J1215" t="s">
        <v>91</v>
      </c>
      <c r="K1215" t="s">
        <v>78</v>
      </c>
      <c r="L1215" t="s">
        <v>79</v>
      </c>
      <c r="M1215" t="s">
        <v>80</v>
      </c>
      <c r="N1215" t="s">
        <v>1980</v>
      </c>
      <c r="O1215" t="s">
        <v>226</v>
      </c>
      <c r="P1215" t="str">
        <f>"4170063841                    "</f>
        <v xml:space="preserve">4170063841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17.47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5</v>
      </c>
      <c r="BJ1215">
        <v>2.1</v>
      </c>
      <c r="BK1215">
        <v>5</v>
      </c>
      <c r="BL1215">
        <v>55.44</v>
      </c>
      <c r="BM1215">
        <v>8.32</v>
      </c>
      <c r="BN1215">
        <v>63.76</v>
      </c>
      <c r="BO1215">
        <v>63.76</v>
      </c>
      <c r="BQ1215" t="s">
        <v>1981</v>
      </c>
      <c r="BR1215" t="s">
        <v>97</v>
      </c>
      <c r="BS1215" s="3">
        <v>45943</v>
      </c>
      <c r="BT1215" s="4">
        <v>0.28819444444444442</v>
      </c>
      <c r="BU1215" t="s">
        <v>1142</v>
      </c>
      <c r="BV1215" t="s">
        <v>86</v>
      </c>
      <c r="BY1215">
        <v>10350</v>
      </c>
      <c r="CA1215" t="s">
        <v>166</v>
      </c>
      <c r="CC1215" t="s">
        <v>80</v>
      </c>
      <c r="CD1215">
        <v>1619</v>
      </c>
      <c r="CE1215" t="s">
        <v>191</v>
      </c>
      <c r="CF1215" s="3">
        <v>45944</v>
      </c>
      <c r="CI1215">
        <v>1</v>
      </c>
      <c r="CJ1215">
        <v>1</v>
      </c>
      <c r="CK1215">
        <v>32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"080068440518"</f>
        <v>080068440518</v>
      </c>
      <c r="F1216" s="3">
        <v>45940</v>
      </c>
      <c r="G1216">
        <v>202607</v>
      </c>
      <c r="H1216" t="s">
        <v>79</v>
      </c>
      <c r="I1216" t="s">
        <v>80</v>
      </c>
      <c r="J1216" t="s">
        <v>91</v>
      </c>
      <c r="K1216" t="s">
        <v>78</v>
      </c>
      <c r="L1216" t="s">
        <v>223</v>
      </c>
      <c r="M1216" t="s">
        <v>224</v>
      </c>
      <c r="N1216" t="s">
        <v>1671</v>
      </c>
      <c r="O1216" t="s">
        <v>226</v>
      </c>
      <c r="P1216" t="str">
        <f>"4170063815                    "</f>
        <v xml:space="preserve">4170063815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17.47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7</v>
      </c>
      <c r="BJ1216">
        <v>3.4</v>
      </c>
      <c r="BK1216">
        <v>7</v>
      </c>
      <c r="BL1216">
        <v>55.44</v>
      </c>
      <c r="BM1216">
        <v>8.32</v>
      </c>
      <c r="BN1216">
        <v>63.76</v>
      </c>
      <c r="BO1216">
        <v>63.76</v>
      </c>
      <c r="BQ1216" t="s">
        <v>1672</v>
      </c>
      <c r="BR1216" t="s">
        <v>97</v>
      </c>
      <c r="BS1216" s="3">
        <v>45943</v>
      </c>
      <c r="BT1216" s="4">
        <v>0.41875000000000001</v>
      </c>
      <c r="BU1216" t="s">
        <v>1982</v>
      </c>
      <c r="BV1216" t="s">
        <v>86</v>
      </c>
      <c r="BY1216">
        <v>16965</v>
      </c>
      <c r="CA1216" t="s">
        <v>508</v>
      </c>
      <c r="CC1216" t="s">
        <v>224</v>
      </c>
      <c r="CD1216">
        <v>1459</v>
      </c>
      <c r="CE1216" t="s">
        <v>191</v>
      </c>
      <c r="CF1216" s="3">
        <v>45943</v>
      </c>
      <c r="CI1216">
        <v>1</v>
      </c>
      <c r="CJ1216">
        <v>1</v>
      </c>
      <c r="CK1216">
        <v>32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"080068440637"</f>
        <v>080068440637</v>
      </c>
      <c r="F1217" s="3">
        <v>45940</v>
      </c>
      <c r="G1217">
        <v>202607</v>
      </c>
      <c r="H1217" t="s">
        <v>79</v>
      </c>
      <c r="I1217" t="s">
        <v>80</v>
      </c>
      <c r="J1217" t="s">
        <v>91</v>
      </c>
      <c r="K1217" t="s">
        <v>78</v>
      </c>
      <c r="L1217" t="s">
        <v>121</v>
      </c>
      <c r="M1217" t="s">
        <v>122</v>
      </c>
      <c r="N1217" t="s">
        <v>123</v>
      </c>
      <c r="O1217" t="s">
        <v>82</v>
      </c>
      <c r="P1217" t="str">
        <f>"4170063845                    "</f>
        <v xml:space="preserve">4170063845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22.36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70.959999999999994</v>
      </c>
      <c r="BM1217">
        <v>10.64</v>
      </c>
      <c r="BN1217">
        <v>81.599999999999994</v>
      </c>
      <c r="BO1217">
        <v>81.599999999999994</v>
      </c>
      <c r="BQ1217" t="s">
        <v>124</v>
      </c>
      <c r="BR1217" t="s">
        <v>97</v>
      </c>
      <c r="BS1217" s="3">
        <v>45943</v>
      </c>
      <c r="BT1217" s="4">
        <v>0.35972222222222222</v>
      </c>
      <c r="BU1217" t="s">
        <v>201</v>
      </c>
      <c r="BV1217" t="s">
        <v>86</v>
      </c>
      <c r="BY1217">
        <v>1200</v>
      </c>
      <c r="CA1217" t="s">
        <v>126</v>
      </c>
      <c r="CC1217" t="s">
        <v>122</v>
      </c>
      <c r="CD1217">
        <v>4051</v>
      </c>
      <c r="CE1217" t="s">
        <v>147</v>
      </c>
      <c r="CF1217" s="3">
        <v>45943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"080068440739"</f>
        <v>080068440739</v>
      </c>
      <c r="F1218" s="3">
        <v>45940</v>
      </c>
      <c r="G1218">
        <v>202607</v>
      </c>
      <c r="H1218" t="s">
        <v>79</v>
      </c>
      <c r="I1218" t="s">
        <v>80</v>
      </c>
      <c r="J1218" t="s">
        <v>91</v>
      </c>
      <c r="K1218" t="s">
        <v>78</v>
      </c>
      <c r="L1218" t="s">
        <v>265</v>
      </c>
      <c r="M1218" t="s">
        <v>266</v>
      </c>
      <c r="N1218" t="s">
        <v>1983</v>
      </c>
      <c r="O1218" t="s">
        <v>82</v>
      </c>
      <c r="P1218" t="str">
        <f>"4170063830                    "</f>
        <v xml:space="preserve">4170063830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22.36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70.959999999999994</v>
      </c>
      <c r="BM1218">
        <v>10.64</v>
      </c>
      <c r="BN1218">
        <v>81.599999999999994</v>
      </c>
      <c r="BO1218">
        <v>81.599999999999994</v>
      </c>
      <c r="BQ1218" t="s">
        <v>1984</v>
      </c>
      <c r="BR1218" t="s">
        <v>97</v>
      </c>
      <c r="BS1218" s="3">
        <v>45943</v>
      </c>
      <c r="BT1218" s="4">
        <v>0.3576388888888889</v>
      </c>
      <c r="BU1218" t="s">
        <v>1985</v>
      </c>
      <c r="BV1218" t="s">
        <v>86</v>
      </c>
      <c r="BY1218">
        <v>1200</v>
      </c>
      <c r="CA1218" t="s">
        <v>818</v>
      </c>
      <c r="CC1218" t="s">
        <v>266</v>
      </c>
      <c r="CD1218">
        <v>6230</v>
      </c>
      <c r="CE1218" t="s">
        <v>147</v>
      </c>
      <c r="CF1218" s="3">
        <v>45943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"080068440830"</f>
        <v>080068440830</v>
      </c>
      <c r="F1219" s="3">
        <v>45940</v>
      </c>
      <c r="G1219">
        <v>202607</v>
      </c>
      <c r="H1219" t="s">
        <v>79</v>
      </c>
      <c r="I1219" t="s">
        <v>80</v>
      </c>
      <c r="J1219" t="s">
        <v>91</v>
      </c>
      <c r="K1219" t="s">
        <v>78</v>
      </c>
      <c r="L1219" t="s">
        <v>168</v>
      </c>
      <c r="M1219" t="s">
        <v>169</v>
      </c>
      <c r="N1219" t="s">
        <v>170</v>
      </c>
      <c r="O1219" t="s">
        <v>82</v>
      </c>
      <c r="P1219" t="str">
        <f>"4170063814                    "</f>
        <v xml:space="preserve">4170063814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22.36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70.959999999999994</v>
      </c>
      <c r="BM1219">
        <v>10.64</v>
      </c>
      <c r="BN1219">
        <v>81.599999999999994</v>
      </c>
      <c r="BO1219">
        <v>81.599999999999994</v>
      </c>
      <c r="BQ1219" t="s">
        <v>171</v>
      </c>
      <c r="BR1219" t="s">
        <v>97</v>
      </c>
      <c r="BS1219" s="3">
        <v>45943</v>
      </c>
      <c r="BT1219" s="4">
        <v>0.35208333333333336</v>
      </c>
      <c r="BU1219" t="s">
        <v>172</v>
      </c>
      <c r="BV1219" t="s">
        <v>86</v>
      </c>
      <c r="BY1219">
        <v>1200</v>
      </c>
      <c r="CC1219" t="s">
        <v>169</v>
      </c>
      <c r="CD1219" s="5" t="s">
        <v>173</v>
      </c>
      <c r="CE1219" t="s">
        <v>147</v>
      </c>
      <c r="CF1219" s="3">
        <v>45943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"080068440947"</f>
        <v>080068440947</v>
      </c>
      <c r="F1220" s="3">
        <v>45940</v>
      </c>
      <c r="G1220">
        <v>202607</v>
      </c>
      <c r="H1220" t="s">
        <v>79</v>
      </c>
      <c r="I1220" t="s">
        <v>80</v>
      </c>
      <c r="J1220" t="s">
        <v>91</v>
      </c>
      <c r="K1220" t="s">
        <v>78</v>
      </c>
      <c r="L1220" t="s">
        <v>79</v>
      </c>
      <c r="M1220" t="s">
        <v>80</v>
      </c>
      <c r="N1220" t="s">
        <v>1986</v>
      </c>
      <c r="O1220" t="s">
        <v>82</v>
      </c>
      <c r="P1220" t="str">
        <f>"4170063858                    "</f>
        <v xml:space="preserve">4170063858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17.46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2</v>
      </c>
      <c r="BJ1220">
        <v>1.1000000000000001</v>
      </c>
      <c r="BK1220">
        <v>2</v>
      </c>
      <c r="BL1220">
        <v>55.42</v>
      </c>
      <c r="BM1220">
        <v>8.31</v>
      </c>
      <c r="BN1220">
        <v>63.73</v>
      </c>
      <c r="BO1220">
        <v>63.73</v>
      </c>
      <c r="BQ1220" t="s">
        <v>1987</v>
      </c>
      <c r="BR1220" t="s">
        <v>97</v>
      </c>
      <c r="BS1220" s="3">
        <v>45943</v>
      </c>
      <c r="BT1220" s="4">
        <v>0.43055555555555558</v>
      </c>
      <c r="BU1220" t="s">
        <v>1988</v>
      </c>
      <c r="BV1220" t="s">
        <v>86</v>
      </c>
      <c r="BY1220">
        <v>5510</v>
      </c>
      <c r="CA1220" t="s">
        <v>166</v>
      </c>
      <c r="CC1220" t="s">
        <v>80</v>
      </c>
      <c r="CD1220">
        <v>1624</v>
      </c>
      <c r="CE1220" t="s">
        <v>191</v>
      </c>
      <c r="CF1220" s="3">
        <v>45944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"080068441046"</f>
        <v>080068441046</v>
      </c>
      <c r="F1221" s="3">
        <v>45940</v>
      </c>
      <c r="G1221">
        <v>202607</v>
      </c>
      <c r="H1221" t="s">
        <v>79</v>
      </c>
      <c r="I1221" t="s">
        <v>80</v>
      </c>
      <c r="J1221" t="s">
        <v>91</v>
      </c>
      <c r="K1221" t="s">
        <v>78</v>
      </c>
      <c r="L1221" t="s">
        <v>79</v>
      </c>
      <c r="M1221" t="s">
        <v>80</v>
      </c>
      <c r="N1221" t="s">
        <v>577</v>
      </c>
      <c r="O1221" t="s">
        <v>226</v>
      </c>
      <c r="P1221" t="str">
        <f>"4170063893                    "</f>
        <v xml:space="preserve">4170063893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17.47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6</v>
      </c>
      <c r="BJ1221">
        <v>1.9</v>
      </c>
      <c r="BK1221">
        <v>6</v>
      </c>
      <c r="BL1221">
        <v>55.44</v>
      </c>
      <c r="BM1221">
        <v>8.32</v>
      </c>
      <c r="BN1221">
        <v>63.76</v>
      </c>
      <c r="BO1221">
        <v>63.76</v>
      </c>
      <c r="BQ1221" t="s">
        <v>578</v>
      </c>
      <c r="BR1221" t="s">
        <v>97</v>
      </c>
      <c r="BS1221" s="3">
        <v>45943</v>
      </c>
      <c r="BT1221" s="4">
        <v>0.41666666666666669</v>
      </c>
      <c r="BU1221" t="s">
        <v>1956</v>
      </c>
      <c r="BV1221" t="s">
        <v>86</v>
      </c>
      <c r="BY1221">
        <v>9600</v>
      </c>
      <c r="CA1221" t="s">
        <v>1957</v>
      </c>
      <c r="CC1221" t="s">
        <v>80</v>
      </c>
      <c r="CD1221">
        <v>1619</v>
      </c>
      <c r="CE1221" t="s">
        <v>191</v>
      </c>
      <c r="CF1221" s="3">
        <v>45943</v>
      </c>
      <c r="CI1221">
        <v>1</v>
      </c>
      <c r="CJ1221">
        <v>1</v>
      </c>
      <c r="CK1221">
        <v>32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"080068441080"</f>
        <v>080068441080</v>
      </c>
      <c r="F1222" s="3">
        <v>45940</v>
      </c>
      <c r="G1222">
        <v>202607</v>
      </c>
      <c r="H1222" t="s">
        <v>79</v>
      </c>
      <c r="I1222" t="s">
        <v>80</v>
      </c>
      <c r="J1222" t="s">
        <v>91</v>
      </c>
      <c r="K1222" t="s">
        <v>78</v>
      </c>
      <c r="L1222" t="s">
        <v>79</v>
      </c>
      <c r="M1222" t="s">
        <v>80</v>
      </c>
      <c r="N1222" t="s">
        <v>577</v>
      </c>
      <c r="O1222" t="s">
        <v>226</v>
      </c>
      <c r="P1222" t="str">
        <f>"4170063853                    "</f>
        <v xml:space="preserve">4170063853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17.47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3</v>
      </c>
      <c r="BJ1222">
        <v>4.8</v>
      </c>
      <c r="BK1222">
        <v>5</v>
      </c>
      <c r="BL1222">
        <v>55.44</v>
      </c>
      <c r="BM1222">
        <v>8.32</v>
      </c>
      <c r="BN1222">
        <v>63.76</v>
      </c>
      <c r="BO1222">
        <v>63.76</v>
      </c>
      <c r="BQ1222" t="s">
        <v>578</v>
      </c>
      <c r="BR1222" t="s">
        <v>97</v>
      </c>
      <c r="BS1222" s="3">
        <v>45943</v>
      </c>
      <c r="BT1222" s="4">
        <v>0.41666666666666669</v>
      </c>
      <c r="BU1222" t="s">
        <v>1956</v>
      </c>
      <c r="BV1222" t="s">
        <v>86</v>
      </c>
      <c r="BY1222">
        <v>23760</v>
      </c>
      <c r="CA1222" t="s">
        <v>1957</v>
      </c>
      <c r="CC1222" t="s">
        <v>80</v>
      </c>
      <c r="CD1222">
        <v>1619</v>
      </c>
      <c r="CE1222" t="s">
        <v>107</v>
      </c>
      <c r="CF1222" s="3">
        <v>45943</v>
      </c>
      <c r="CI1222">
        <v>1</v>
      </c>
      <c r="CJ1222">
        <v>1</v>
      </c>
      <c r="CK1222">
        <v>32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"080068441199"</f>
        <v>080068441199</v>
      </c>
      <c r="F1223" s="3">
        <v>45940</v>
      </c>
      <c r="G1223">
        <v>202607</v>
      </c>
      <c r="H1223" t="s">
        <v>79</v>
      </c>
      <c r="I1223" t="s">
        <v>80</v>
      </c>
      <c r="J1223" t="s">
        <v>91</v>
      </c>
      <c r="K1223" t="s">
        <v>78</v>
      </c>
      <c r="L1223" t="s">
        <v>206</v>
      </c>
      <c r="M1223" t="s">
        <v>207</v>
      </c>
      <c r="N1223" t="s">
        <v>1989</v>
      </c>
      <c r="O1223" t="s">
        <v>82</v>
      </c>
      <c r="P1223" t="str">
        <f>"4170063874                    "</f>
        <v xml:space="preserve">4170063874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44.69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4</v>
      </c>
      <c r="BK1223">
        <v>4</v>
      </c>
      <c r="BL1223">
        <v>141.85</v>
      </c>
      <c r="BM1223">
        <v>21.28</v>
      </c>
      <c r="BN1223">
        <v>163.13</v>
      </c>
      <c r="BO1223">
        <v>163.13</v>
      </c>
      <c r="BQ1223" t="s">
        <v>1990</v>
      </c>
      <c r="BR1223" t="s">
        <v>97</v>
      </c>
      <c r="BS1223" s="3">
        <v>45943</v>
      </c>
      <c r="BT1223" s="4">
        <v>0.42083333333333334</v>
      </c>
      <c r="BU1223" t="s">
        <v>1991</v>
      </c>
      <c r="BV1223" t="s">
        <v>86</v>
      </c>
      <c r="BY1223">
        <v>19992</v>
      </c>
      <c r="CA1223" t="s">
        <v>388</v>
      </c>
      <c r="CC1223" t="s">
        <v>207</v>
      </c>
      <c r="CD1223">
        <v>7705</v>
      </c>
      <c r="CE1223" t="s">
        <v>107</v>
      </c>
      <c r="CF1223" s="3">
        <v>45944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"080068441312"</f>
        <v>080068441312</v>
      </c>
      <c r="F1224" s="3">
        <v>45940</v>
      </c>
      <c r="G1224">
        <v>202607</v>
      </c>
      <c r="H1224" t="s">
        <v>79</v>
      </c>
      <c r="I1224" t="s">
        <v>80</v>
      </c>
      <c r="J1224" t="s">
        <v>91</v>
      </c>
      <c r="K1224" t="s">
        <v>78</v>
      </c>
      <c r="L1224" t="s">
        <v>168</v>
      </c>
      <c r="M1224" t="s">
        <v>169</v>
      </c>
      <c r="N1224" t="s">
        <v>923</v>
      </c>
      <c r="O1224" t="s">
        <v>95</v>
      </c>
      <c r="P1224" t="str">
        <f>"4170063849                    "</f>
        <v xml:space="preserve">4170063849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46.8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2</v>
      </c>
      <c r="BI1224">
        <v>17</v>
      </c>
      <c r="BJ1224">
        <v>11</v>
      </c>
      <c r="BK1224">
        <v>17</v>
      </c>
      <c r="BL1224">
        <v>154.41</v>
      </c>
      <c r="BM1224">
        <v>23.16</v>
      </c>
      <c r="BN1224">
        <v>177.57</v>
      </c>
      <c r="BO1224">
        <v>177.57</v>
      </c>
      <c r="BQ1224" t="s">
        <v>924</v>
      </c>
      <c r="BR1224" t="s">
        <v>97</v>
      </c>
      <c r="BS1224" s="3">
        <v>45944</v>
      </c>
      <c r="BT1224" s="4">
        <v>0.40138888888888891</v>
      </c>
      <c r="BU1224" t="s">
        <v>925</v>
      </c>
      <c r="BV1224" t="s">
        <v>90</v>
      </c>
      <c r="BW1224" t="s">
        <v>188</v>
      </c>
      <c r="BX1224" t="s">
        <v>215</v>
      </c>
      <c r="BY1224">
        <v>55208</v>
      </c>
      <c r="CA1224">
        <v>9107126013089</v>
      </c>
      <c r="CC1224" t="s">
        <v>169</v>
      </c>
      <c r="CD1224" s="5" t="s">
        <v>926</v>
      </c>
      <c r="CE1224" t="s">
        <v>191</v>
      </c>
      <c r="CF1224" s="3">
        <v>45945</v>
      </c>
      <c r="CI1224">
        <v>1</v>
      </c>
      <c r="CJ1224">
        <v>2</v>
      </c>
      <c r="CK1224">
        <v>41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"080068441352"</f>
        <v>080068441352</v>
      </c>
      <c r="F1225" s="3">
        <v>45940</v>
      </c>
      <c r="G1225">
        <v>202607</v>
      </c>
      <c r="H1225" t="s">
        <v>79</v>
      </c>
      <c r="I1225" t="s">
        <v>80</v>
      </c>
      <c r="J1225" t="s">
        <v>91</v>
      </c>
      <c r="K1225" t="s">
        <v>78</v>
      </c>
      <c r="L1225" t="s">
        <v>206</v>
      </c>
      <c r="M1225" t="s">
        <v>207</v>
      </c>
      <c r="N1225" t="s">
        <v>656</v>
      </c>
      <c r="O1225" t="s">
        <v>82</v>
      </c>
      <c r="P1225" t="str">
        <f>"4170063826                    "</f>
        <v xml:space="preserve">4170063826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22.36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70.959999999999994</v>
      </c>
      <c r="BM1225">
        <v>10.64</v>
      </c>
      <c r="BN1225">
        <v>81.599999999999994</v>
      </c>
      <c r="BO1225">
        <v>81.599999999999994</v>
      </c>
      <c r="BQ1225" t="s">
        <v>657</v>
      </c>
      <c r="BR1225" t="s">
        <v>97</v>
      </c>
      <c r="BS1225" s="3">
        <v>45943</v>
      </c>
      <c r="BT1225" s="4">
        <v>0.4152777777777778</v>
      </c>
      <c r="BU1225" t="s">
        <v>1442</v>
      </c>
      <c r="BV1225" t="s">
        <v>86</v>
      </c>
      <c r="BY1225">
        <v>1200</v>
      </c>
      <c r="CA1225" t="s">
        <v>770</v>
      </c>
      <c r="CC1225" t="s">
        <v>207</v>
      </c>
      <c r="CD1225">
        <v>7441</v>
      </c>
      <c r="CE1225" t="s">
        <v>147</v>
      </c>
      <c r="CF1225" s="3">
        <v>45944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"080068441379"</f>
        <v>080068441379</v>
      </c>
      <c r="F1226" s="3">
        <v>45940</v>
      </c>
      <c r="G1226">
        <v>202607</v>
      </c>
      <c r="H1226" t="s">
        <v>79</v>
      </c>
      <c r="I1226" t="s">
        <v>80</v>
      </c>
      <c r="J1226" t="s">
        <v>91</v>
      </c>
      <c r="K1226" t="s">
        <v>78</v>
      </c>
      <c r="L1226" t="s">
        <v>265</v>
      </c>
      <c r="M1226" t="s">
        <v>266</v>
      </c>
      <c r="N1226" t="s">
        <v>1033</v>
      </c>
      <c r="O1226" t="s">
        <v>82</v>
      </c>
      <c r="P1226" t="str">
        <f>"4170063846                    "</f>
        <v xml:space="preserve">4170063846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44.69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3</v>
      </c>
      <c r="BJ1226">
        <v>3.6</v>
      </c>
      <c r="BK1226">
        <v>4</v>
      </c>
      <c r="BL1226">
        <v>141.85</v>
      </c>
      <c r="BM1226">
        <v>21.28</v>
      </c>
      <c r="BN1226">
        <v>163.13</v>
      </c>
      <c r="BO1226">
        <v>163.13</v>
      </c>
      <c r="BQ1226" t="s">
        <v>1034</v>
      </c>
      <c r="BR1226" t="s">
        <v>97</v>
      </c>
      <c r="BS1226" s="3">
        <v>45943</v>
      </c>
      <c r="BT1226" s="4">
        <v>0.33888888888888891</v>
      </c>
      <c r="BU1226" t="s">
        <v>1992</v>
      </c>
      <c r="BV1226" t="s">
        <v>86</v>
      </c>
      <c r="BY1226">
        <v>18144</v>
      </c>
      <c r="CA1226" t="s">
        <v>818</v>
      </c>
      <c r="CC1226" t="s">
        <v>266</v>
      </c>
      <c r="CD1226">
        <v>6230</v>
      </c>
      <c r="CE1226" t="s">
        <v>107</v>
      </c>
      <c r="CF1226" s="3">
        <v>45943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"080068441412"</f>
        <v>080068441412</v>
      </c>
      <c r="F1227" s="3">
        <v>45940</v>
      </c>
      <c r="G1227">
        <v>202607</v>
      </c>
      <c r="H1227" t="s">
        <v>79</v>
      </c>
      <c r="I1227" t="s">
        <v>80</v>
      </c>
      <c r="J1227" t="s">
        <v>91</v>
      </c>
      <c r="K1227" t="s">
        <v>78</v>
      </c>
      <c r="L1227" t="s">
        <v>121</v>
      </c>
      <c r="M1227" t="s">
        <v>122</v>
      </c>
      <c r="N1227" t="s">
        <v>1993</v>
      </c>
      <c r="O1227" t="s">
        <v>82</v>
      </c>
      <c r="P1227" t="str">
        <f>"4170063870                    "</f>
        <v xml:space="preserve">4170063870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106.12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4</v>
      </c>
      <c r="BJ1227">
        <v>9.1</v>
      </c>
      <c r="BK1227">
        <v>9.5</v>
      </c>
      <c r="BL1227">
        <v>336.82</v>
      </c>
      <c r="BM1227">
        <v>50.52</v>
      </c>
      <c r="BN1227">
        <v>387.34</v>
      </c>
      <c r="BO1227">
        <v>387.34</v>
      </c>
      <c r="BQ1227" t="s">
        <v>1994</v>
      </c>
      <c r="BR1227" t="s">
        <v>97</v>
      </c>
      <c r="BS1227" s="3">
        <v>45943</v>
      </c>
      <c r="BT1227" s="4">
        <v>0.54722222222222228</v>
      </c>
      <c r="BU1227" t="s">
        <v>1995</v>
      </c>
      <c r="BV1227" t="s">
        <v>90</v>
      </c>
      <c r="BW1227" t="s">
        <v>136</v>
      </c>
      <c r="BX1227" t="s">
        <v>787</v>
      </c>
      <c r="BY1227">
        <v>45632</v>
      </c>
      <c r="CA1227" t="s">
        <v>1996</v>
      </c>
      <c r="CC1227" t="s">
        <v>122</v>
      </c>
      <c r="CD1227">
        <v>4068</v>
      </c>
      <c r="CE1227" t="s">
        <v>191</v>
      </c>
      <c r="CF1227" s="3">
        <v>45943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"080068441684"</f>
        <v>080068441684</v>
      </c>
      <c r="F1228" s="3">
        <v>45940</v>
      </c>
      <c r="G1228">
        <v>202607</v>
      </c>
      <c r="H1228" t="s">
        <v>79</v>
      </c>
      <c r="I1228" t="s">
        <v>80</v>
      </c>
      <c r="J1228" t="s">
        <v>91</v>
      </c>
      <c r="K1228" t="s">
        <v>78</v>
      </c>
      <c r="L1228" t="s">
        <v>121</v>
      </c>
      <c r="M1228" t="s">
        <v>122</v>
      </c>
      <c r="N1228" t="s">
        <v>133</v>
      </c>
      <c r="O1228" t="s">
        <v>82</v>
      </c>
      <c r="P1228" t="str">
        <f>"4170063818                    "</f>
        <v xml:space="preserve">4170063818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22.36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70.959999999999994</v>
      </c>
      <c r="BM1228">
        <v>10.64</v>
      </c>
      <c r="BN1228">
        <v>81.599999999999994</v>
      </c>
      <c r="BO1228">
        <v>81.599999999999994</v>
      </c>
      <c r="BQ1228" t="s">
        <v>134</v>
      </c>
      <c r="BR1228" t="s">
        <v>97</v>
      </c>
      <c r="BS1228" s="3">
        <v>45943</v>
      </c>
      <c r="BT1228" s="4">
        <v>0.51875000000000004</v>
      </c>
      <c r="BU1228" t="s">
        <v>1997</v>
      </c>
      <c r="BV1228" t="s">
        <v>90</v>
      </c>
      <c r="BW1228" t="s">
        <v>136</v>
      </c>
      <c r="BX1228" t="s">
        <v>787</v>
      </c>
      <c r="BY1228">
        <v>1200</v>
      </c>
      <c r="CA1228" t="s">
        <v>742</v>
      </c>
      <c r="CC1228" t="s">
        <v>122</v>
      </c>
      <c r="CD1228">
        <v>4001</v>
      </c>
      <c r="CE1228" t="s">
        <v>147</v>
      </c>
      <c r="CF1228" s="3">
        <v>45943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"080068441705"</f>
        <v>080068441705</v>
      </c>
      <c r="F1229" s="3">
        <v>45940</v>
      </c>
      <c r="G1229">
        <v>202607</v>
      </c>
      <c r="H1229" t="s">
        <v>79</v>
      </c>
      <c r="I1229" t="s">
        <v>80</v>
      </c>
      <c r="J1229" t="s">
        <v>91</v>
      </c>
      <c r="K1229" t="s">
        <v>78</v>
      </c>
      <c r="L1229" t="s">
        <v>271</v>
      </c>
      <c r="M1229" t="s">
        <v>272</v>
      </c>
      <c r="N1229" t="s">
        <v>1998</v>
      </c>
      <c r="O1229" t="s">
        <v>82</v>
      </c>
      <c r="P1229" t="str">
        <f>"4170063892                    "</f>
        <v xml:space="preserve">4170063892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17.46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55.42</v>
      </c>
      <c r="BM1229">
        <v>8.31</v>
      </c>
      <c r="BN1229">
        <v>63.73</v>
      </c>
      <c r="BO1229">
        <v>63.73</v>
      </c>
      <c r="BQ1229" t="s">
        <v>1999</v>
      </c>
      <c r="BR1229" t="s">
        <v>97</v>
      </c>
      <c r="BS1229" s="3">
        <v>45943</v>
      </c>
      <c r="BT1229" s="4">
        <v>0.33750000000000002</v>
      </c>
      <c r="BU1229" t="s">
        <v>2000</v>
      </c>
      <c r="BV1229" t="s">
        <v>86</v>
      </c>
      <c r="BY1229">
        <v>1200</v>
      </c>
      <c r="CA1229" t="s">
        <v>661</v>
      </c>
      <c r="CC1229" t="s">
        <v>272</v>
      </c>
      <c r="CD1229">
        <v>1428</v>
      </c>
      <c r="CE1229" t="s">
        <v>147</v>
      </c>
      <c r="CF1229" s="3">
        <v>45944</v>
      </c>
      <c r="CI1229">
        <v>1</v>
      </c>
      <c r="CJ1229">
        <v>1</v>
      </c>
      <c r="CK1229">
        <v>22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"080068442623"</f>
        <v>080068442623</v>
      </c>
      <c r="F1230" s="3">
        <v>45940</v>
      </c>
      <c r="G1230">
        <v>202607</v>
      </c>
      <c r="H1230" t="s">
        <v>79</v>
      </c>
      <c r="I1230" t="s">
        <v>80</v>
      </c>
      <c r="J1230" t="s">
        <v>91</v>
      </c>
      <c r="K1230" t="s">
        <v>78</v>
      </c>
      <c r="L1230" t="s">
        <v>206</v>
      </c>
      <c r="M1230" t="s">
        <v>207</v>
      </c>
      <c r="N1230" t="s">
        <v>656</v>
      </c>
      <c r="O1230" t="s">
        <v>95</v>
      </c>
      <c r="P1230" t="str">
        <f>"4170063866                    "</f>
        <v xml:space="preserve">4170063866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71.790000000000006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10</v>
      </c>
      <c r="BJ1230">
        <v>30.9</v>
      </c>
      <c r="BK1230">
        <v>31</v>
      </c>
      <c r="BL1230">
        <v>233.72</v>
      </c>
      <c r="BM1230">
        <v>35.06</v>
      </c>
      <c r="BN1230">
        <v>268.77999999999997</v>
      </c>
      <c r="BO1230">
        <v>268.77999999999997</v>
      </c>
      <c r="BQ1230" t="s">
        <v>657</v>
      </c>
      <c r="BR1230" t="s">
        <v>97</v>
      </c>
      <c r="BS1230" s="3">
        <v>45944</v>
      </c>
      <c r="BT1230" s="4">
        <v>0.39513888888888887</v>
      </c>
      <c r="BU1230" t="s">
        <v>967</v>
      </c>
      <c r="BV1230" t="s">
        <v>86</v>
      </c>
      <c r="BY1230">
        <v>154560</v>
      </c>
      <c r="CA1230" t="s">
        <v>211</v>
      </c>
      <c r="CC1230" t="s">
        <v>207</v>
      </c>
      <c r="CD1230">
        <v>7441</v>
      </c>
      <c r="CE1230" t="s">
        <v>191</v>
      </c>
      <c r="CF1230" s="3">
        <v>45945</v>
      </c>
      <c r="CI1230">
        <v>3</v>
      </c>
      <c r="CJ1230">
        <v>2</v>
      </c>
      <c r="CK1230">
        <v>41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"080068442649"</f>
        <v>080068442649</v>
      </c>
      <c r="F1231" s="3">
        <v>45940</v>
      </c>
      <c r="G1231">
        <v>202607</v>
      </c>
      <c r="H1231" t="s">
        <v>79</v>
      </c>
      <c r="I1231" t="s">
        <v>80</v>
      </c>
      <c r="J1231" t="s">
        <v>91</v>
      </c>
      <c r="K1231" t="s">
        <v>78</v>
      </c>
      <c r="L1231" t="s">
        <v>223</v>
      </c>
      <c r="M1231" t="s">
        <v>224</v>
      </c>
      <c r="N1231" t="s">
        <v>505</v>
      </c>
      <c r="O1231" t="s">
        <v>82</v>
      </c>
      <c r="P1231" t="str">
        <f>"4170063896                    "</f>
        <v xml:space="preserve">4170063896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17.46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3</v>
      </c>
      <c r="BJ1231">
        <v>1.7</v>
      </c>
      <c r="BK1231">
        <v>3</v>
      </c>
      <c r="BL1231">
        <v>55.42</v>
      </c>
      <c r="BM1231">
        <v>8.31</v>
      </c>
      <c r="BN1231">
        <v>63.73</v>
      </c>
      <c r="BO1231">
        <v>63.73</v>
      </c>
      <c r="BQ1231" t="s">
        <v>506</v>
      </c>
      <c r="BR1231" t="s">
        <v>97</v>
      </c>
      <c r="BS1231" s="3">
        <v>45943</v>
      </c>
      <c r="BT1231" s="4">
        <v>0.39791666666666664</v>
      </c>
      <c r="BU1231" t="s">
        <v>1560</v>
      </c>
      <c r="BV1231" t="s">
        <v>86</v>
      </c>
      <c r="BY1231">
        <v>8550</v>
      </c>
      <c r="CA1231" t="s">
        <v>508</v>
      </c>
      <c r="CC1231" t="s">
        <v>224</v>
      </c>
      <c r="CD1231">
        <v>1459</v>
      </c>
      <c r="CE1231" t="s">
        <v>191</v>
      </c>
      <c r="CF1231" s="3">
        <v>45943</v>
      </c>
      <c r="CI1231">
        <v>1</v>
      </c>
      <c r="CJ1231">
        <v>1</v>
      </c>
      <c r="CK1231">
        <v>22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"080068442703"</f>
        <v>080068442703</v>
      </c>
      <c r="F1232" s="3">
        <v>45940</v>
      </c>
      <c r="G1232">
        <v>202607</v>
      </c>
      <c r="H1232" t="s">
        <v>79</v>
      </c>
      <c r="I1232" t="s">
        <v>80</v>
      </c>
      <c r="J1232" t="s">
        <v>91</v>
      </c>
      <c r="K1232" t="s">
        <v>78</v>
      </c>
      <c r="L1232" t="s">
        <v>206</v>
      </c>
      <c r="M1232" t="s">
        <v>207</v>
      </c>
      <c r="N1232" t="s">
        <v>656</v>
      </c>
      <c r="O1232" t="s">
        <v>82</v>
      </c>
      <c r="P1232" t="str">
        <f>"4170063865                    "</f>
        <v xml:space="preserve">4170063865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122.88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11</v>
      </c>
      <c r="BJ1232">
        <v>4.0999999999999996</v>
      </c>
      <c r="BK1232">
        <v>11</v>
      </c>
      <c r="BL1232">
        <v>390</v>
      </c>
      <c r="BM1232">
        <v>58.5</v>
      </c>
      <c r="BN1232">
        <v>448.5</v>
      </c>
      <c r="BO1232">
        <v>448.5</v>
      </c>
      <c r="BQ1232" t="s">
        <v>657</v>
      </c>
      <c r="BR1232" t="s">
        <v>97</v>
      </c>
      <c r="BS1232" s="3">
        <v>45943</v>
      </c>
      <c r="BT1232" s="4">
        <v>0.4152777777777778</v>
      </c>
      <c r="BU1232" t="s">
        <v>1442</v>
      </c>
      <c r="BV1232" t="s">
        <v>86</v>
      </c>
      <c r="BY1232">
        <v>20358</v>
      </c>
      <c r="CA1232" t="s">
        <v>770</v>
      </c>
      <c r="CC1232" t="s">
        <v>207</v>
      </c>
      <c r="CD1232">
        <v>7441</v>
      </c>
      <c r="CE1232" t="s">
        <v>191</v>
      </c>
      <c r="CF1232" s="3">
        <v>45944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"080068442746"</f>
        <v>080068442746</v>
      </c>
      <c r="F1233" s="3">
        <v>45940</v>
      </c>
      <c r="G1233">
        <v>202607</v>
      </c>
      <c r="H1233" t="s">
        <v>79</v>
      </c>
      <c r="I1233" t="s">
        <v>80</v>
      </c>
      <c r="J1233" t="s">
        <v>91</v>
      </c>
      <c r="K1233" t="s">
        <v>78</v>
      </c>
      <c r="L1233" t="s">
        <v>114</v>
      </c>
      <c r="M1233" t="s">
        <v>115</v>
      </c>
      <c r="N1233" t="s">
        <v>881</v>
      </c>
      <c r="O1233" t="s">
        <v>82</v>
      </c>
      <c r="P1233" t="str">
        <f>"4170063894                    "</f>
        <v xml:space="preserve">4170063894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22.36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2</v>
      </c>
      <c r="BJ1233">
        <v>1.4</v>
      </c>
      <c r="BK1233">
        <v>2</v>
      </c>
      <c r="BL1233">
        <v>70.959999999999994</v>
      </c>
      <c r="BM1233">
        <v>10.64</v>
      </c>
      <c r="BN1233">
        <v>81.599999999999994</v>
      </c>
      <c r="BO1233">
        <v>81.599999999999994</v>
      </c>
      <c r="BQ1233" t="s">
        <v>882</v>
      </c>
      <c r="BR1233" t="s">
        <v>97</v>
      </c>
      <c r="BS1233" s="3">
        <v>45943</v>
      </c>
      <c r="BT1233" s="4">
        <v>0.42569444444444443</v>
      </c>
      <c r="BU1233" t="s">
        <v>2001</v>
      </c>
      <c r="BV1233" t="s">
        <v>86</v>
      </c>
      <c r="BY1233">
        <v>7000</v>
      </c>
      <c r="CA1233" t="s">
        <v>749</v>
      </c>
      <c r="CC1233" t="s">
        <v>115</v>
      </c>
      <c r="CD1233">
        <v>5201</v>
      </c>
      <c r="CE1233" t="s">
        <v>191</v>
      </c>
      <c r="CF1233" s="3">
        <v>45944</v>
      </c>
      <c r="CI1233">
        <v>1</v>
      </c>
      <c r="CJ1233">
        <v>1</v>
      </c>
      <c r="CK1233">
        <v>21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"080068442803"</f>
        <v>080068442803</v>
      </c>
      <c r="F1234" s="3">
        <v>45940</v>
      </c>
      <c r="G1234">
        <v>202607</v>
      </c>
      <c r="H1234" t="s">
        <v>79</v>
      </c>
      <c r="I1234" t="s">
        <v>80</v>
      </c>
      <c r="J1234" t="s">
        <v>91</v>
      </c>
      <c r="K1234" t="s">
        <v>78</v>
      </c>
      <c r="L1234" t="s">
        <v>79</v>
      </c>
      <c r="M1234" t="s">
        <v>80</v>
      </c>
      <c r="N1234" t="s">
        <v>416</v>
      </c>
      <c r="O1234" t="s">
        <v>82</v>
      </c>
      <c r="P1234" t="str">
        <f>"4170063833                    "</f>
        <v xml:space="preserve">4170063833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17.46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55.42</v>
      </c>
      <c r="BM1234">
        <v>8.31</v>
      </c>
      <c r="BN1234">
        <v>63.73</v>
      </c>
      <c r="BO1234">
        <v>63.73</v>
      </c>
      <c r="BQ1234" t="s">
        <v>417</v>
      </c>
      <c r="BR1234" t="s">
        <v>97</v>
      </c>
      <c r="BS1234" s="3">
        <v>45943</v>
      </c>
      <c r="BT1234" s="4">
        <v>0.39444444444444443</v>
      </c>
      <c r="BU1234" t="s">
        <v>418</v>
      </c>
      <c r="BV1234" t="s">
        <v>86</v>
      </c>
      <c r="BY1234">
        <v>1200</v>
      </c>
      <c r="CA1234" t="s">
        <v>419</v>
      </c>
      <c r="CC1234" t="s">
        <v>80</v>
      </c>
      <c r="CD1234">
        <v>1666</v>
      </c>
      <c r="CE1234" t="s">
        <v>147</v>
      </c>
      <c r="CF1234" s="3">
        <v>45944</v>
      </c>
      <c r="CI1234">
        <v>1</v>
      </c>
      <c r="CJ1234">
        <v>1</v>
      </c>
      <c r="CK1234">
        <v>22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"080068442926"</f>
        <v>080068442926</v>
      </c>
      <c r="F1235" s="3">
        <v>45940</v>
      </c>
      <c r="G1235">
        <v>202607</v>
      </c>
      <c r="H1235" t="s">
        <v>79</v>
      </c>
      <c r="I1235" t="s">
        <v>80</v>
      </c>
      <c r="J1235" t="s">
        <v>91</v>
      </c>
      <c r="K1235" t="s">
        <v>78</v>
      </c>
      <c r="L1235" t="s">
        <v>530</v>
      </c>
      <c r="M1235" t="s">
        <v>531</v>
      </c>
      <c r="N1235" t="s">
        <v>754</v>
      </c>
      <c r="O1235" t="s">
        <v>82</v>
      </c>
      <c r="P1235" t="str">
        <f>"4170063890                    "</f>
        <v xml:space="preserve">4170063890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258.45999999999998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13</v>
      </c>
      <c r="BJ1235">
        <v>8.9</v>
      </c>
      <c r="BK1235">
        <v>13</v>
      </c>
      <c r="BL1235">
        <v>820.34</v>
      </c>
      <c r="BM1235">
        <v>123.05</v>
      </c>
      <c r="BN1235">
        <v>943.39</v>
      </c>
      <c r="BO1235">
        <v>943.39</v>
      </c>
      <c r="BQ1235" t="s">
        <v>755</v>
      </c>
      <c r="BR1235" t="s">
        <v>97</v>
      </c>
      <c r="BS1235" s="3">
        <v>45943</v>
      </c>
      <c r="BT1235" s="4">
        <v>0.4909722222222222</v>
      </c>
      <c r="BU1235" t="s">
        <v>1906</v>
      </c>
      <c r="BV1235" t="s">
        <v>86</v>
      </c>
      <c r="BY1235">
        <v>44640</v>
      </c>
      <c r="CA1235" t="s">
        <v>535</v>
      </c>
      <c r="CC1235" t="s">
        <v>531</v>
      </c>
      <c r="CD1235">
        <v>6850</v>
      </c>
      <c r="CE1235" t="s">
        <v>191</v>
      </c>
      <c r="CF1235" s="3">
        <v>45944</v>
      </c>
      <c r="CI1235">
        <v>2</v>
      </c>
      <c r="CJ1235">
        <v>1</v>
      </c>
      <c r="CK1235">
        <v>23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"080068443021"</f>
        <v>080068443021</v>
      </c>
      <c r="F1236" s="3">
        <v>45940</v>
      </c>
      <c r="G1236">
        <v>202607</v>
      </c>
      <c r="H1236" t="s">
        <v>79</v>
      </c>
      <c r="I1236" t="s">
        <v>80</v>
      </c>
      <c r="J1236" t="s">
        <v>91</v>
      </c>
      <c r="K1236" t="s">
        <v>78</v>
      </c>
      <c r="L1236" t="s">
        <v>884</v>
      </c>
      <c r="M1236" t="s">
        <v>885</v>
      </c>
      <c r="N1236" t="s">
        <v>886</v>
      </c>
      <c r="O1236" t="s">
        <v>82</v>
      </c>
      <c r="P1236" t="str">
        <f>"4170063859                    "</f>
        <v xml:space="preserve">4170063859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43.31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137.47</v>
      </c>
      <c r="BM1236">
        <v>20.62</v>
      </c>
      <c r="BN1236">
        <v>158.09</v>
      </c>
      <c r="BO1236">
        <v>158.09</v>
      </c>
      <c r="BQ1236" t="s">
        <v>887</v>
      </c>
      <c r="BR1236" t="s">
        <v>97</v>
      </c>
      <c r="BS1236" s="3">
        <v>45943</v>
      </c>
      <c r="BT1236" s="4">
        <v>0.33333333333333331</v>
      </c>
      <c r="BU1236" t="s">
        <v>1676</v>
      </c>
      <c r="BV1236" t="s">
        <v>86</v>
      </c>
      <c r="BY1236">
        <v>1200</v>
      </c>
      <c r="CC1236" t="s">
        <v>885</v>
      </c>
      <c r="CD1236">
        <v>2740</v>
      </c>
      <c r="CE1236" t="s">
        <v>147</v>
      </c>
      <c r="CF1236" s="3">
        <v>45944</v>
      </c>
      <c r="CI1236">
        <v>1</v>
      </c>
      <c r="CJ1236">
        <v>1</v>
      </c>
      <c r="CK1236">
        <v>23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"080068443222"</f>
        <v>080068443222</v>
      </c>
      <c r="F1237" s="3">
        <v>45940</v>
      </c>
      <c r="G1237">
        <v>202607</v>
      </c>
      <c r="H1237" t="s">
        <v>79</v>
      </c>
      <c r="I1237" t="s">
        <v>80</v>
      </c>
      <c r="J1237" t="s">
        <v>91</v>
      </c>
      <c r="K1237" t="s">
        <v>78</v>
      </c>
      <c r="L1237" t="s">
        <v>223</v>
      </c>
      <c r="M1237" t="s">
        <v>224</v>
      </c>
      <c r="N1237" t="s">
        <v>505</v>
      </c>
      <c r="O1237" t="s">
        <v>82</v>
      </c>
      <c r="P1237" t="str">
        <f>"4170063897                    "</f>
        <v xml:space="preserve">4170063897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17.46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5</v>
      </c>
      <c r="BJ1237">
        <v>1.1000000000000001</v>
      </c>
      <c r="BK1237">
        <v>5</v>
      </c>
      <c r="BL1237">
        <v>55.42</v>
      </c>
      <c r="BM1237">
        <v>8.31</v>
      </c>
      <c r="BN1237">
        <v>63.73</v>
      </c>
      <c r="BO1237">
        <v>63.73</v>
      </c>
      <c r="BQ1237" t="s">
        <v>506</v>
      </c>
      <c r="BR1237" t="s">
        <v>97</v>
      </c>
      <c r="BS1237" s="3">
        <v>45943</v>
      </c>
      <c r="BT1237" s="4">
        <v>0.3972222222222222</v>
      </c>
      <c r="BU1237" t="s">
        <v>1560</v>
      </c>
      <c r="BV1237" t="s">
        <v>86</v>
      </c>
      <c r="BY1237">
        <v>5320</v>
      </c>
      <c r="CA1237" t="s">
        <v>508</v>
      </c>
      <c r="CC1237" t="s">
        <v>224</v>
      </c>
      <c r="CD1237">
        <v>1459</v>
      </c>
      <c r="CE1237" t="s">
        <v>191</v>
      </c>
      <c r="CF1237" s="3">
        <v>45943</v>
      </c>
      <c r="CI1237">
        <v>1</v>
      </c>
      <c r="CJ1237">
        <v>1</v>
      </c>
      <c r="CK1237">
        <v>22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"R080068376589"</f>
        <v>R080068376589</v>
      </c>
      <c r="F1238" s="3">
        <v>45940</v>
      </c>
      <c r="G1238">
        <v>202607</v>
      </c>
      <c r="H1238" t="s">
        <v>79</v>
      </c>
      <c r="I1238" t="s">
        <v>80</v>
      </c>
      <c r="J1238" t="s">
        <v>1680</v>
      </c>
      <c r="K1238" t="s">
        <v>78</v>
      </c>
      <c r="L1238" t="s">
        <v>206</v>
      </c>
      <c r="M1238" t="s">
        <v>207</v>
      </c>
      <c r="N1238" t="s">
        <v>2002</v>
      </c>
      <c r="O1238" t="s">
        <v>82</v>
      </c>
      <c r="P1238" t="str">
        <f>"4170063401                    "</f>
        <v xml:space="preserve">4170063401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22.36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70.959999999999994</v>
      </c>
      <c r="BM1238">
        <v>10.64</v>
      </c>
      <c r="BN1238">
        <v>81.599999999999994</v>
      </c>
      <c r="BO1238">
        <v>81.599999999999994</v>
      </c>
      <c r="BQ1238" t="s">
        <v>1689</v>
      </c>
      <c r="BR1238" t="s">
        <v>97</v>
      </c>
      <c r="BS1238" s="3">
        <v>45943</v>
      </c>
      <c r="BT1238" s="4">
        <v>0.38958333333333334</v>
      </c>
      <c r="BU1238" t="s">
        <v>1935</v>
      </c>
      <c r="BV1238" t="s">
        <v>86</v>
      </c>
      <c r="BY1238">
        <v>1200</v>
      </c>
      <c r="BZ1238" t="s">
        <v>87</v>
      </c>
      <c r="CA1238" t="s">
        <v>461</v>
      </c>
      <c r="CC1238" t="s">
        <v>207</v>
      </c>
      <c r="CD1238">
        <v>7530</v>
      </c>
      <c r="CE1238" t="s">
        <v>120</v>
      </c>
      <c r="CF1238" s="3">
        <v>45945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"080068443943"</f>
        <v>080068443943</v>
      </c>
      <c r="F1239" s="3">
        <v>45940</v>
      </c>
      <c r="G1239">
        <v>202607</v>
      </c>
      <c r="H1239" t="s">
        <v>79</v>
      </c>
      <c r="I1239" t="s">
        <v>80</v>
      </c>
      <c r="J1239" t="s">
        <v>91</v>
      </c>
      <c r="K1239" t="s">
        <v>78</v>
      </c>
      <c r="L1239" t="s">
        <v>92</v>
      </c>
      <c r="M1239" t="s">
        <v>93</v>
      </c>
      <c r="N1239" t="s">
        <v>192</v>
      </c>
      <c r="O1239" t="s">
        <v>82</v>
      </c>
      <c r="P1239" t="str">
        <f>"4170063839                    "</f>
        <v xml:space="preserve">4170063839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22.36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70.959999999999994</v>
      </c>
      <c r="BM1239">
        <v>10.64</v>
      </c>
      <c r="BN1239">
        <v>81.599999999999994</v>
      </c>
      <c r="BO1239">
        <v>81.599999999999994</v>
      </c>
      <c r="BQ1239" t="s">
        <v>193</v>
      </c>
      <c r="BR1239" t="s">
        <v>97</v>
      </c>
      <c r="BS1239" s="3">
        <v>45943</v>
      </c>
      <c r="BT1239" s="4">
        <v>0.65</v>
      </c>
      <c r="BU1239" t="s">
        <v>194</v>
      </c>
      <c r="BV1239" t="s">
        <v>90</v>
      </c>
      <c r="BY1239">
        <v>1200</v>
      </c>
      <c r="CC1239" t="s">
        <v>93</v>
      </c>
      <c r="CD1239">
        <v>3201</v>
      </c>
      <c r="CE1239" t="s">
        <v>147</v>
      </c>
      <c r="CF1239" s="3">
        <v>45944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"080068443972"</f>
        <v>080068443972</v>
      </c>
      <c r="F1240" s="3">
        <v>45940</v>
      </c>
      <c r="G1240">
        <v>202607</v>
      </c>
      <c r="H1240" t="s">
        <v>79</v>
      </c>
      <c r="I1240" t="s">
        <v>80</v>
      </c>
      <c r="J1240" t="s">
        <v>91</v>
      </c>
      <c r="K1240" t="s">
        <v>78</v>
      </c>
      <c r="L1240" t="s">
        <v>148</v>
      </c>
      <c r="M1240" t="s">
        <v>149</v>
      </c>
      <c r="N1240" t="s">
        <v>1563</v>
      </c>
      <c r="O1240" t="s">
        <v>95</v>
      </c>
      <c r="P1240" t="str">
        <f>"4170063802                    "</f>
        <v xml:space="preserve">4170063802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45.06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3</v>
      </c>
      <c r="BI1240">
        <v>27</v>
      </c>
      <c r="BJ1240">
        <v>26.8</v>
      </c>
      <c r="BK1240">
        <v>27</v>
      </c>
      <c r="BL1240">
        <v>148.88999999999999</v>
      </c>
      <c r="BM1240">
        <v>22.33</v>
      </c>
      <c r="BN1240">
        <v>171.22</v>
      </c>
      <c r="BO1240">
        <v>171.22</v>
      </c>
      <c r="BQ1240" t="s">
        <v>1564</v>
      </c>
      <c r="BR1240" t="s">
        <v>97</v>
      </c>
      <c r="BS1240" s="3">
        <v>45943</v>
      </c>
      <c r="BT1240" s="4">
        <v>0.40277777777777779</v>
      </c>
      <c r="BU1240" t="s">
        <v>2003</v>
      </c>
      <c r="BV1240" t="s">
        <v>86</v>
      </c>
      <c r="BY1240">
        <v>44640</v>
      </c>
      <c r="CA1240" t="s">
        <v>2004</v>
      </c>
      <c r="CC1240" t="s">
        <v>149</v>
      </c>
      <c r="CD1240">
        <v>2094</v>
      </c>
      <c r="CE1240" t="s">
        <v>2005</v>
      </c>
      <c r="CF1240" s="3">
        <v>45943</v>
      </c>
      <c r="CI1240">
        <v>1</v>
      </c>
      <c r="CJ1240">
        <v>1</v>
      </c>
      <c r="CK1240">
        <v>42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"080068443974"</f>
        <v>080068443974</v>
      </c>
      <c r="F1241" s="3">
        <v>45940</v>
      </c>
      <c r="G1241">
        <v>202607</v>
      </c>
      <c r="H1241" t="s">
        <v>79</v>
      </c>
      <c r="I1241" t="s">
        <v>80</v>
      </c>
      <c r="J1241" t="s">
        <v>91</v>
      </c>
      <c r="K1241" t="s">
        <v>78</v>
      </c>
      <c r="L1241" t="s">
        <v>114</v>
      </c>
      <c r="M1241" t="s">
        <v>115</v>
      </c>
      <c r="N1241" t="s">
        <v>116</v>
      </c>
      <c r="O1241" t="s">
        <v>82</v>
      </c>
      <c r="P1241" t="str">
        <f>"4170063835                    "</f>
        <v xml:space="preserve">4170063835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22.36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70.959999999999994</v>
      </c>
      <c r="BM1241">
        <v>10.64</v>
      </c>
      <c r="BN1241">
        <v>81.599999999999994</v>
      </c>
      <c r="BO1241">
        <v>81.599999999999994</v>
      </c>
      <c r="BQ1241" t="s">
        <v>117</v>
      </c>
      <c r="BR1241" t="s">
        <v>97</v>
      </c>
      <c r="BS1241" s="3">
        <v>45943</v>
      </c>
      <c r="BT1241" s="4">
        <v>0.4861111111111111</v>
      </c>
      <c r="BU1241" t="s">
        <v>2006</v>
      </c>
      <c r="BV1241" t="s">
        <v>86</v>
      </c>
      <c r="BY1241">
        <v>1200</v>
      </c>
      <c r="CA1241" t="s">
        <v>760</v>
      </c>
      <c r="CC1241" t="s">
        <v>115</v>
      </c>
      <c r="CD1241">
        <v>5201</v>
      </c>
      <c r="CE1241" t="s">
        <v>147</v>
      </c>
      <c r="CF1241" s="3">
        <v>45944</v>
      </c>
      <c r="CI1241">
        <v>5</v>
      </c>
      <c r="CJ1241">
        <v>1</v>
      </c>
      <c r="CK1241">
        <v>21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"080068443995"</f>
        <v>080068443995</v>
      </c>
      <c r="F1242" s="3">
        <v>45940</v>
      </c>
      <c r="G1242">
        <v>202607</v>
      </c>
      <c r="H1242" t="s">
        <v>79</v>
      </c>
      <c r="I1242" t="s">
        <v>80</v>
      </c>
      <c r="J1242" t="s">
        <v>91</v>
      </c>
      <c r="K1242" t="s">
        <v>78</v>
      </c>
      <c r="L1242" t="s">
        <v>121</v>
      </c>
      <c r="M1242" t="s">
        <v>122</v>
      </c>
      <c r="N1242" t="s">
        <v>1474</v>
      </c>
      <c r="O1242" t="s">
        <v>82</v>
      </c>
      <c r="P1242" t="str">
        <f>"4170063875                    "</f>
        <v xml:space="preserve">4170063875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22.36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70.959999999999994</v>
      </c>
      <c r="BM1242">
        <v>10.64</v>
      </c>
      <c r="BN1242">
        <v>81.599999999999994</v>
      </c>
      <c r="BO1242">
        <v>81.599999999999994</v>
      </c>
      <c r="BQ1242" t="s">
        <v>1475</v>
      </c>
      <c r="BR1242" t="s">
        <v>97</v>
      </c>
      <c r="BS1242" s="3">
        <v>45943</v>
      </c>
      <c r="BT1242" s="4">
        <v>0.82013888888888886</v>
      </c>
      <c r="BU1242" t="s">
        <v>2007</v>
      </c>
      <c r="BV1242" t="s">
        <v>90</v>
      </c>
      <c r="BW1242" t="s">
        <v>136</v>
      </c>
      <c r="BX1242" t="s">
        <v>787</v>
      </c>
      <c r="BY1242">
        <v>1200</v>
      </c>
      <c r="CA1242" t="s">
        <v>157</v>
      </c>
      <c r="CC1242" t="s">
        <v>122</v>
      </c>
      <c r="CD1242">
        <v>4052</v>
      </c>
      <c r="CE1242" t="s">
        <v>147</v>
      </c>
      <c r="CF1242" s="3">
        <v>45943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"080068444012"</f>
        <v>080068444012</v>
      </c>
      <c r="F1243" s="3">
        <v>45940</v>
      </c>
      <c r="G1243">
        <v>202607</v>
      </c>
      <c r="H1243" t="s">
        <v>79</v>
      </c>
      <c r="I1243" t="s">
        <v>80</v>
      </c>
      <c r="J1243" t="s">
        <v>91</v>
      </c>
      <c r="K1243" t="s">
        <v>78</v>
      </c>
      <c r="L1243" t="s">
        <v>108</v>
      </c>
      <c r="M1243" t="s">
        <v>109</v>
      </c>
      <c r="N1243" t="s">
        <v>287</v>
      </c>
      <c r="O1243" t="s">
        <v>82</v>
      </c>
      <c r="P1243" t="str">
        <f>"4170063836                    "</f>
        <v xml:space="preserve">4170063836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22.36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0.9</v>
      </c>
      <c r="BK1243">
        <v>1</v>
      </c>
      <c r="BL1243">
        <v>70.959999999999994</v>
      </c>
      <c r="BM1243">
        <v>10.64</v>
      </c>
      <c r="BN1243">
        <v>81.599999999999994</v>
      </c>
      <c r="BO1243">
        <v>81.599999999999994</v>
      </c>
      <c r="BQ1243" t="s">
        <v>288</v>
      </c>
      <c r="BR1243" t="s">
        <v>97</v>
      </c>
      <c r="BS1243" s="3">
        <v>45943</v>
      </c>
      <c r="BT1243" s="4">
        <v>0.3659722222222222</v>
      </c>
      <c r="BU1243" t="s">
        <v>2008</v>
      </c>
      <c r="BV1243" t="s">
        <v>86</v>
      </c>
      <c r="BY1243">
        <v>4275</v>
      </c>
      <c r="CC1243" t="s">
        <v>109</v>
      </c>
      <c r="CD1243">
        <v>6012</v>
      </c>
      <c r="CE1243" t="s">
        <v>191</v>
      </c>
      <c r="CF1243" s="3">
        <v>45943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"080068444016"</f>
        <v>080068444016</v>
      </c>
      <c r="F1244" s="3">
        <v>45940</v>
      </c>
      <c r="G1244">
        <v>202607</v>
      </c>
      <c r="H1244" t="s">
        <v>79</v>
      </c>
      <c r="I1244" t="s">
        <v>80</v>
      </c>
      <c r="J1244" t="s">
        <v>91</v>
      </c>
      <c r="K1244" t="s">
        <v>78</v>
      </c>
      <c r="L1244" t="s">
        <v>985</v>
      </c>
      <c r="M1244" t="s">
        <v>986</v>
      </c>
      <c r="N1244" t="s">
        <v>987</v>
      </c>
      <c r="O1244" t="s">
        <v>82</v>
      </c>
      <c r="P1244" t="str">
        <f>"4170063868                    "</f>
        <v xml:space="preserve">4170063868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22.36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70.959999999999994</v>
      </c>
      <c r="BM1244">
        <v>10.64</v>
      </c>
      <c r="BN1244">
        <v>81.599999999999994</v>
      </c>
      <c r="BO1244">
        <v>81.599999999999994</v>
      </c>
      <c r="BQ1244" t="s">
        <v>988</v>
      </c>
      <c r="BR1244" t="s">
        <v>97</v>
      </c>
      <c r="BS1244" s="3">
        <v>45943</v>
      </c>
      <c r="BT1244" s="4">
        <v>0.34166666666666667</v>
      </c>
      <c r="BU1244" t="s">
        <v>1358</v>
      </c>
      <c r="BV1244" t="s">
        <v>86</v>
      </c>
      <c r="BY1244">
        <v>1200</v>
      </c>
      <c r="CA1244" t="s">
        <v>1359</v>
      </c>
      <c r="CC1244" t="s">
        <v>986</v>
      </c>
      <c r="CD1244">
        <v>7600</v>
      </c>
      <c r="CE1244" t="s">
        <v>147</v>
      </c>
      <c r="CF1244" s="3">
        <v>45944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"080068444042"</f>
        <v>080068444042</v>
      </c>
      <c r="F1245" s="3">
        <v>45940</v>
      </c>
      <c r="G1245">
        <v>202607</v>
      </c>
      <c r="H1245" t="s">
        <v>79</v>
      </c>
      <c r="I1245" t="s">
        <v>80</v>
      </c>
      <c r="J1245" t="s">
        <v>91</v>
      </c>
      <c r="K1245" t="s">
        <v>78</v>
      </c>
      <c r="L1245" t="s">
        <v>108</v>
      </c>
      <c r="M1245" t="s">
        <v>109</v>
      </c>
      <c r="N1245" t="s">
        <v>956</v>
      </c>
      <c r="O1245" t="s">
        <v>82</v>
      </c>
      <c r="P1245" t="str">
        <f>"4170063822                    "</f>
        <v xml:space="preserve">4170063822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22.36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1.1000000000000001</v>
      </c>
      <c r="BK1245">
        <v>1.5</v>
      </c>
      <c r="BL1245">
        <v>70.959999999999994</v>
      </c>
      <c r="BM1245">
        <v>10.64</v>
      </c>
      <c r="BN1245">
        <v>81.599999999999994</v>
      </c>
      <c r="BO1245">
        <v>81.599999999999994</v>
      </c>
      <c r="BQ1245" t="s">
        <v>957</v>
      </c>
      <c r="BR1245" t="s">
        <v>97</v>
      </c>
      <c r="BS1245" s="3">
        <v>45943</v>
      </c>
      <c r="BT1245" s="4">
        <v>0.34513888888888888</v>
      </c>
      <c r="BU1245" t="s">
        <v>1144</v>
      </c>
      <c r="BV1245" t="s">
        <v>86</v>
      </c>
      <c r="BY1245">
        <v>5510</v>
      </c>
      <c r="CA1245" t="s">
        <v>1145</v>
      </c>
      <c r="CC1245" t="s">
        <v>109</v>
      </c>
      <c r="CD1245">
        <v>6001</v>
      </c>
      <c r="CE1245" t="s">
        <v>191</v>
      </c>
      <c r="CF1245" s="3">
        <v>45943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"080068444059"</f>
        <v>080068444059</v>
      </c>
      <c r="F1246" s="3">
        <v>45940</v>
      </c>
      <c r="G1246">
        <v>202607</v>
      </c>
      <c r="H1246" t="s">
        <v>79</v>
      </c>
      <c r="I1246" t="s">
        <v>80</v>
      </c>
      <c r="J1246" t="s">
        <v>91</v>
      </c>
      <c r="K1246" t="s">
        <v>78</v>
      </c>
      <c r="L1246" t="s">
        <v>108</v>
      </c>
      <c r="M1246" t="s">
        <v>109</v>
      </c>
      <c r="N1246" t="s">
        <v>229</v>
      </c>
      <c r="O1246" t="s">
        <v>82</v>
      </c>
      <c r="P1246" t="str">
        <f>"4170063837                    "</f>
        <v xml:space="preserve">4170063837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39.11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3</v>
      </c>
      <c r="BJ1246">
        <v>3.4</v>
      </c>
      <c r="BK1246">
        <v>3.5</v>
      </c>
      <c r="BL1246">
        <v>124.13</v>
      </c>
      <c r="BM1246">
        <v>18.62</v>
      </c>
      <c r="BN1246">
        <v>142.75</v>
      </c>
      <c r="BO1246">
        <v>142.75</v>
      </c>
      <c r="BQ1246" t="s">
        <v>230</v>
      </c>
      <c r="BR1246" t="s">
        <v>97</v>
      </c>
      <c r="BS1246" s="3">
        <v>45943</v>
      </c>
      <c r="BT1246" s="4">
        <v>0.36666666666666664</v>
      </c>
      <c r="BU1246" t="s">
        <v>1959</v>
      </c>
      <c r="BV1246" t="s">
        <v>86</v>
      </c>
      <c r="BY1246">
        <v>16965</v>
      </c>
      <c r="CA1246" t="s">
        <v>1145</v>
      </c>
      <c r="CC1246" t="s">
        <v>109</v>
      </c>
      <c r="CD1246">
        <v>6001</v>
      </c>
      <c r="CE1246" t="s">
        <v>191</v>
      </c>
      <c r="CF1246" s="3">
        <v>45943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"080068444083"</f>
        <v>080068444083</v>
      </c>
      <c r="F1247" s="3">
        <v>45940</v>
      </c>
      <c r="G1247">
        <v>202607</v>
      </c>
      <c r="H1247" t="s">
        <v>79</v>
      </c>
      <c r="I1247" t="s">
        <v>80</v>
      </c>
      <c r="J1247" t="s">
        <v>91</v>
      </c>
      <c r="K1247" t="s">
        <v>78</v>
      </c>
      <c r="L1247" t="s">
        <v>530</v>
      </c>
      <c r="M1247" t="s">
        <v>531</v>
      </c>
      <c r="N1247" t="s">
        <v>754</v>
      </c>
      <c r="O1247" t="s">
        <v>95</v>
      </c>
      <c r="P1247" t="str">
        <f>"4170063888                    "</f>
        <v xml:space="preserve">4170063888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95.23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2</v>
      </c>
      <c r="BI1247">
        <v>26</v>
      </c>
      <c r="BJ1247">
        <v>11</v>
      </c>
      <c r="BK1247">
        <v>26</v>
      </c>
      <c r="BL1247">
        <v>308.12</v>
      </c>
      <c r="BM1247">
        <v>46.22</v>
      </c>
      <c r="BN1247">
        <v>354.34</v>
      </c>
      <c r="BO1247">
        <v>354.34</v>
      </c>
      <c r="BQ1247" t="s">
        <v>755</v>
      </c>
      <c r="BR1247" t="s">
        <v>97</v>
      </c>
      <c r="BS1247" s="3">
        <v>45943</v>
      </c>
      <c r="BT1247" s="4">
        <v>0.49166666666666664</v>
      </c>
      <c r="BU1247" t="s">
        <v>1906</v>
      </c>
      <c r="BV1247" t="s">
        <v>86</v>
      </c>
      <c r="BY1247">
        <v>55208</v>
      </c>
      <c r="CA1247" t="s">
        <v>535</v>
      </c>
      <c r="CC1247" t="s">
        <v>531</v>
      </c>
      <c r="CD1247">
        <v>6850</v>
      </c>
      <c r="CE1247" t="s">
        <v>191</v>
      </c>
      <c r="CF1247" s="3">
        <v>45944</v>
      </c>
      <c r="CI1247">
        <v>4</v>
      </c>
      <c r="CJ1247">
        <v>1</v>
      </c>
      <c r="CK1247">
        <v>43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"080068444224"</f>
        <v>080068444224</v>
      </c>
      <c r="F1248" s="3">
        <v>45940</v>
      </c>
      <c r="G1248">
        <v>202607</v>
      </c>
      <c r="H1248" t="s">
        <v>79</v>
      </c>
      <c r="I1248" t="s">
        <v>80</v>
      </c>
      <c r="J1248" t="s">
        <v>91</v>
      </c>
      <c r="K1248" t="s">
        <v>78</v>
      </c>
      <c r="L1248" t="s">
        <v>453</v>
      </c>
      <c r="M1248" t="s">
        <v>454</v>
      </c>
      <c r="N1248" t="s">
        <v>845</v>
      </c>
      <c r="O1248" t="s">
        <v>82</v>
      </c>
      <c r="P1248" t="str">
        <f>"4170063872                    "</f>
        <v xml:space="preserve">4170063872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22.36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70.959999999999994</v>
      </c>
      <c r="BM1248">
        <v>10.64</v>
      </c>
      <c r="BN1248">
        <v>81.599999999999994</v>
      </c>
      <c r="BO1248">
        <v>81.599999999999994</v>
      </c>
      <c r="BQ1248" t="s">
        <v>846</v>
      </c>
      <c r="BR1248" t="s">
        <v>97</v>
      </c>
      <c r="BS1248" s="3">
        <v>45943</v>
      </c>
      <c r="BT1248" s="4">
        <v>0.40277777777777779</v>
      </c>
      <c r="BU1248" t="s">
        <v>2009</v>
      </c>
      <c r="BV1248" t="s">
        <v>86</v>
      </c>
      <c r="BY1248">
        <v>1200</v>
      </c>
      <c r="CA1248" t="s">
        <v>457</v>
      </c>
      <c r="CC1248" t="s">
        <v>454</v>
      </c>
      <c r="CD1248">
        <v>3610</v>
      </c>
      <c r="CE1248" t="s">
        <v>147</v>
      </c>
      <c r="CF1248" s="3">
        <v>45944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"080068444249"</f>
        <v>080068444249</v>
      </c>
      <c r="F1249" s="3">
        <v>45940</v>
      </c>
      <c r="G1249">
        <v>202607</v>
      </c>
      <c r="H1249" t="s">
        <v>79</v>
      </c>
      <c r="I1249" t="s">
        <v>80</v>
      </c>
      <c r="J1249" t="s">
        <v>91</v>
      </c>
      <c r="K1249" t="s">
        <v>78</v>
      </c>
      <c r="L1249" t="s">
        <v>92</v>
      </c>
      <c r="M1249" t="s">
        <v>93</v>
      </c>
      <c r="N1249" t="s">
        <v>94</v>
      </c>
      <c r="O1249" t="s">
        <v>82</v>
      </c>
      <c r="P1249" t="str">
        <f>"4170063828                    "</f>
        <v xml:space="preserve">4170063828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22.36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70.959999999999994</v>
      </c>
      <c r="BM1249">
        <v>10.64</v>
      </c>
      <c r="BN1249">
        <v>81.599999999999994</v>
      </c>
      <c r="BO1249">
        <v>81.599999999999994</v>
      </c>
      <c r="BQ1249" t="s">
        <v>96</v>
      </c>
      <c r="BR1249" t="s">
        <v>97</v>
      </c>
      <c r="BS1249" s="3">
        <v>45943</v>
      </c>
      <c r="BT1249" s="4">
        <v>0.65555555555555556</v>
      </c>
      <c r="BU1249" t="s">
        <v>2010</v>
      </c>
      <c r="BV1249" t="s">
        <v>90</v>
      </c>
      <c r="BY1249">
        <v>1200</v>
      </c>
      <c r="CC1249" t="s">
        <v>93</v>
      </c>
      <c r="CD1249">
        <v>3201</v>
      </c>
      <c r="CE1249" t="s">
        <v>147</v>
      </c>
      <c r="CF1249" s="3">
        <v>45944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"080068444265"</f>
        <v>080068444265</v>
      </c>
      <c r="F1250" s="3">
        <v>45940</v>
      </c>
      <c r="G1250">
        <v>202607</v>
      </c>
      <c r="H1250" t="s">
        <v>79</v>
      </c>
      <c r="I1250" t="s">
        <v>80</v>
      </c>
      <c r="J1250" t="s">
        <v>91</v>
      </c>
      <c r="K1250" t="s">
        <v>78</v>
      </c>
      <c r="L1250" t="s">
        <v>322</v>
      </c>
      <c r="M1250" t="s">
        <v>322</v>
      </c>
      <c r="N1250" t="s">
        <v>2011</v>
      </c>
      <c r="O1250" t="s">
        <v>82</v>
      </c>
      <c r="P1250" t="str">
        <f>"4170063910                    "</f>
        <v xml:space="preserve">4170063910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43.31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137.47</v>
      </c>
      <c r="BM1250">
        <v>20.62</v>
      </c>
      <c r="BN1250">
        <v>158.09</v>
      </c>
      <c r="BO1250">
        <v>158.09</v>
      </c>
      <c r="BQ1250" t="s">
        <v>2012</v>
      </c>
      <c r="BR1250" t="s">
        <v>97</v>
      </c>
      <c r="BS1250" s="3">
        <v>45943</v>
      </c>
      <c r="BT1250" s="4">
        <v>0.53125</v>
      </c>
      <c r="BU1250" t="s">
        <v>2013</v>
      </c>
      <c r="BV1250" t="s">
        <v>86</v>
      </c>
      <c r="BY1250">
        <v>1200</v>
      </c>
      <c r="CA1250" t="s">
        <v>326</v>
      </c>
      <c r="CC1250" t="s">
        <v>322</v>
      </c>
      <c r="CD1250">
        <v>7646</v>
      </c>
      <c r="CE1250" t="s">
        <v>147</v>
      </c>
      <c r="CF1250" s="3">
        <v>45944</v>
      </c>
      <c r="CI1250">
        <v>1</v>
      </c>
      <c r="CJ1250">
        <v>1</v>
      </c>
      <c r="CK1250">
        <v>23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"080068444280"</f>
        <v>080068444280</v>
      </c>
      <c r="F1251" s="3">
        <v>45940</v>
      </c>
      <c r="G1251">
        <v>202607</v>
      </c>
      <c r="H1251" t="s">
        <v>79</v>
      </c>
      <c r="I1251" t="s">
        <v>80</v>
      </c>
      <c r="J1251" t="s">
        <v>91</v>
      </c>
      <c r="K1251" t="s">
        <v>78</v>
      </c>
      <c r="L1251" t="s">
        <v>92</v>
      </c>
      <c r="M1251" t="s">
        <v>93</v>
      </c>
      <c r="N1251" t="s">
        <v>597</v>
      </c>
      <c r="O1251" t="s">
        <v>82</v>
      </c>
      <c r="P1251" t="str">
        <f>"4170063844                    "</f>
        <v xml:space="preserve">4170063844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22.36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70.959999999999994</v>
      </c>
      <c r="BM1251">
        <v>10.64</v>
      </c>
      <c r="BN1251">
        <v>81.599999999999994</v>
      </c>
      <c r="BO1251">
        <v>81.599999999999994</v>
      </c>
      <c r="BQ1251" t="s">
        <v>598</v>
      </c>
      <c r="BR1251" t="s">
        <v>97</v>
      </c>
      <c r="BS1251" s="3">
        <v>45943</v>
      </c>
      <c r="BT1251" s="4">
        <v>0.41666666666666669</v>
      </c>
      <c r="BU1251" t="s">
        <v>1958</v>
      </c>
      <c r="BV1251" t="s">
        <v>86</v>
      </c>
      <c r="BY1251">
        <v>1200</v>
      </c>
      <c r="CC1251" t="s">
        <v>93</v>
      </c>
      <c r="CD1251">
        <v>3201</v>
      </c>
      <c r="CE1251" t="s">
        <v>147</v>
      </c>
      <c r="CF1251" s="3">
        <v>45944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"080068444289"</f>
        <v>080068444289</v>
      </c>
      <c r="F1252" s="3">
        <v>45940</v>
      </c>
      <c r="G1252">
        <v>202607</v>
      </c>
      <c r="H1252" t="s">
        <v>79</v>
      </c>
      <c r="I1252" t="s">
        <v>80</v>
      </c>
      <c r="J1252" t="s">
        <v>91</v>
      </c>
      <c r="K1252" t="s">
        <v>78</v>
      </c>
      <c r="L1252" t="s">
        <v>946</v>
      </c>
      <c r="M1252" t="s">
        <v>947</v>
      </c>
      <c r="N1252" t="s">
        <v>948</v>
      </c>
      <c r="O1252" t="s">
        <v>82</v>
      </c>
      <c r="P1252" t="str">
        <f>"4170063864                    "</f>
        <v xml:space="preserve">4170063864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43.31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137.47</v>
      </c>
      <c r="BM1252">
        <v>20.62</v>
      </c>
      <c r="BN1252">
        <v>158.09</v>
      </c>
      <c r="BO1252">
        <v>158.09</v>
      </c>
      <c r="BQ1252" t="s">
        <v>949</v>
      </c>
      <c r="BR1252" t="s">
        <v>97</v>
      </c>
      <c r="BS1252" s="3">
        <v>45943</v>
      </c>
      <c r="BT1252" s="4">
        <v>0.55069444444444449</v>
      </c>
      <c r="BU1252" t="s">
        <v>1444</v>
      </c>
      <c r="BV1252" t="s">
        <v>86</v>
      </c>
      <c r="BY1252">
        <v>1200</v>
      </c>
      <c r="CA1252" t="s">
        <v>951</v>
      </c>
      <c r="CC1252" t="s">
        <v>947</v>
      </c>
      <c r="CD1252">
        <v>6500</v>
      </c>
      <c r="CE1252" t="s">
        <v>147</v>
      </c>
      <c r="CF1252" s="3">
        <v>45944</v>
      </c>
      <c r="CI1252">
        <v>1</v>
      </c>
      <c r="CJ1252">
        <v>1</v>
      </c>
      <c r="CK1252">
        <v>23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"080068444307"</f>
        <v>080068444307</v>
      </c>
      <c r="F1253" s="3">
        <v>45940</v>
      </c>
      <c r="G1253">
        <v>202607</v>
      </c>
      <c r="H1253" t="s">
        <v>79</v>
      </c>
      <c r="I1253" t="s">
        <v>80</v>
      </c>
      <c r="J1253" t="s">
        <v>91</v>
      </c>
      <c r="K1253" t="s">
        <v>78</v>
      </c>
      <c r="L1253" t="s">
        <v>788</v>
      </c>
      <c r="M1253" t="s">
        <v>789</v>
      </c>
      <c r="N1253" t="s">
        <v>790</v>
      </c>
      <c r="O1253" t="s">
        <v>82</v>
      </c>
      <c r="P1253" t="str">
        <f>"4170063901                    "</f>
        <v xml:space="preserve">4170063901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43.31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137.47</v>
      </c>
      <c r="BM1253">
        <v>20.62</v>
      </c>
      <c r="BN1253">
        <v>158.09</v>
      </c>
      <c r="BO1253">
        <v>158.09</v>
      </c>
      <c r="BQ1253" t="s">
        <v>791</v>
      </c>
      <c r="BR1253" t="s">
        <v>97</v>
      </c>
      <c r="BS1253" s="3">
        <v>45943</v>
      </c>
      <c r="BT1253" s="4">
        <v>0.68263888888888891</v>
      </c>
      <c r="BU1253" t="s">
        <v>792</v>
      </c>
      <c r="BV1253" t="s">
        <v>90</v>
      </c>
      <c r="BY1253">
        <v>1200</v>
      </c>
      <c r="CA1253" t="s">
        <v>793</v>
      </c>
      <c r="CC1253" t="s">
        <v>789</v>
      </c>
      <c r="CD1253">
        <v>3290</v>
      </c>
      <c r="CE1253" t="s">
        <v>2014</v>
      </c>
      <c r="CF1253" s="3">
        <v>45944</v>
      </c>
      <c r="CI1253">
        <v>1</v>
      </c>
      <c r="CJ1253">
        <v>1</v>
      </c>
      <c r="CK1253">
        <v>23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"080068445209"</f>
        <v>080068445209</v>
      </c>
      <c r="F1254" s="3">
        <v>45940</v>
      </c>
      <c r="G1254">
        <v>202607</v>
      </c>
      <c r="H1254" t="s">
        <v>79</v>
      </c>
      <c r="I1254" t="s">
        <v>80</v>
      </c>
      <c r="J1254" t="s">
        <v>91</v>
      </c>
      <c r="K1254" t="s">
        <v>78</v>
      </c>
      <c r="L1254" t="s">
        <v>281</v>
      </c>
      <c r="M1254" t="s">
        <v>282</v>
      </c>
      <c r="N1254" t="s">
        <v>2015</v>
      </c>
      <c r="O1254" t="s">
        <v>95</v>
      </c>
      <c r="P1254" t="str">
        <f>"4170063919                    "</f>
        <v xml:space="preserve">4170063919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60.97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2</v>
      </c>
      <c r="BI1254">
        <v>10</v>
      </c>
      <c r="BJ1254">
        <v>8</v>
      </c>
      <c r="BK1254">
        <v>10</v>
      </c>
      <c r="BL1254">
        <v>199.39</v>
      </c>
      <c r="BM1254">
        <v>29.91</v>
      </c>
      <c r="BN1254">
        <v>229.3</v>
      </c>
      <c r="BO1254">
        <v>229.3</v>
      </c>
      <c r="BQ1254" t="s">
        <v>2016</v>
      </c>
      <c r="BR1254" t="s">
        <v>97</v>
      </c>
      <c r="BS1254" s="3">
        <v>45943</v>
      </c>
      <c r="BT1254" s="4">
        <v>0.55625000000000002</v>
      </c>
      <c r="BU1254" t="s">
        <v>2017</v>
      </c>
      <c r="BV1254" t="s">
        <v>86</v>
      </c>
      <c r="BY1254">
        <v>39928</v>
      </c>
      <c r="CA1254" t="s">
        <v>2018</v>
      </c>
      <c r="CC1254" t="s">
        <v>282</v>
      </c>
      <c r="CD1254">
        <v>1961</v>
      </c>
      <c r="CE1254" t="s">
        <v>107</v>
      </c>
      <c r="CF1254" s="3">
        <v>45944</v>
      </c>
      <c r="CI1254">
        <v>1</v>
      </c>
      <c r="CJ1254">
        <v>1</v>
      </c>
      <c r="CK1254">
        <v>43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"080068445251"</f>
        <v>080068445251</v>
      </c>
      <c r="F1255" s="3">
        <v>45940</v>
      </c>
      <c r="G1255">
        <v>202607</v>
      </c>
      <c r="H1255" t="s">
        <v>79</v>
      </c>
      <c r="I1255" t="s">
        <v>80</v>
      </c>
      <c r="J1255" t="s">
        <v>91</v>
      </c>
      <c r="K1255" t="s">
        <v>78</v>
      </c>
      <c r="L1255" t="s">
        <v>206</v>
      </c>
      <c r="M1255" t="s">
        <v>207</v>
      </c>
      <c r="N1255" t="s">
        <v>656</v>
      </c>
      <c r="O1255" t="s">
        <v>82</v>
      </c>
      <c r="P1255" t="str">
        <f>"4170063847                    "</f>
        <v xml:space="preserve">4170063847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67.03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6</v>
      </c>
      <c r="BJ1255">
        <v>2.8</v>
      </c>
      <c r="BK1255">
        <v>6</v>
      </c>
      <c r="BL1255">
        <v>212.75</v>
      </c>
      <c r="BM1255">
        <v>31.91</v>
      </c>
      <c r="BN1255">
        <v>244.66</v>
      </c>
      <c r="BO1255">
        <v>244.66</v>
      </c>
      <c r="BQ1255" t="s">
        <v>657</v>
      </c>
      <c r="BR1255" t="s">
        <v>97</v>
      </c>
      <c r="BS1255" s="3">
        <v>45943</v>
      </c>
      <c r="BT1255" s="4">
        <v>0.4152777777777778</v>
      </c>
      <c r="BU1255" t="s">
        <v>1442</v>
      </c>
      <c r="BV1255" t="s">
        <v>86</v>
      </c>
      <c r="BY1255">
        <v>14076</v>
      </c>
      <c r="CA1255" t="s">
        <v>770</v>
      </c>
      <c r="CC1255" t="s">
        <v>207</v>
      </c>
      <c r="CD1255">
        <v>7441</v>
      </c>
      <c r="CE1255" t="s">
        <v>191</v>
      </c>
      <c r="CF1255" s="3">
        <v>45944</v>
      </c>
      <c r="CI1255">
        <v>1</v>
      </c>
      <c r="CJ1255">
        <v>1</v>
      </c>
      <c r="CK1255">
        <v>21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"080068445310"</f>
        <v>080068445310</v>
      </c>
      <c r="F1256" s="3">
        <v>45940</v>
      </c>
      <c r="G1256">
        <v>202607</v>
      </c>
      <c r="H1256" t="s">
        <v>79</v>
      </c>
      <c r="I1256" t="s">
        <v>80</v>
      </c>
      <c r="J1256" t="s">
        <v>91</v>
      </c>
      <c r="K1256" t="s">
        <v>78</v>
      </c>
      <c r="L1256" t="s">
        <v>108</v>
      </c>
      <c r="M1256" t="s">
        <v>109</v>
      </c>
      <c r="N1256" t="s">
        <v>291</v>
      </c>
      <c r="O1256" t="s">
        <v>82</v>
      </c>
      <c r="P1256" t="str">
        <f>"4170063930                    "</f>
        <v xml:space="preserve">4170063930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78.2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7</v>
      </c>
      <c r="BJ1256">
        <v>3.4</v>
      </c>
      <c r="BK1256">
        <v>7</v>
      </c>
      <c r="BL1256">
        <v>248.2</v>
      </c>
      <c r="BM1256">
        <v>37.229999999999997</v>
      </c>
      <c r="BN1256">
        <v>285.43</v>
      </c>
      <c r="BO1256">
        <v>285.43</v>
      </c>
      <c r="BQ1256" t="s">
        <v>292</v>
      </c>
      <c r="BR1256" t="s">
        <v>97</v>
      </c>
      <c r="BS1256" s="3">
        <v>45943</v>
      </c>
      <c r="BT1256" s="4">
        <v>0.34305555555555556</v>
      </c>
      <c r="BU1256" t="s">
        <v>2019</v>
      </c>
      <c r="BV1256" t="s">
        <v>86</v>
      </c>
      <c r="BY1256">
        <v>16965</v>
      </c>
      <c r="CA1256" t="s">
        <v>294</v>
      </c>
      <c r="CC1256" t="s">
        <v>109</v>
      </c>
      <c r="CD1256">
        <v>6001</v>
      </c>
      <c r="CE1256" t="s">
        <v>191</v>
      </c>
      <c r="CF1256" s="3">
        <v>45943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"080068445322"</f>
        <v>080068445322</v>
      </c>
      <c r="F1257" s="3">
        <v>45940</v>
      </c>
      <c r="G1257">
        <v>202607</v>
      </c>
      <c r="H1257" t="s">
        <v>79</v>
      </c>
      <c r="I1257" t="s">
        <v>80</v>
      </c>
      <c r="J1257" t="s">
        <v>91</v>
      </c>
      <c r="K1257" t="s">
        <v>78</v>
      </c>
      <c r="L1257" t="s">
        <v>453</v>
      </c>
      <c r="M1257" t="s">
        <v>454</v>
      </c>
      <c r="N1257" t="s">
        <v>639</v>
      </c>
      <c r="O1257" t="s">
        <v>82</v>
      </c>
      <c r="P1257" t="str">
        <f>"4170063928                    "</f>
        <v xml:space="preserve">4170063928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22.36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1.9</v>
      </c>
      <c r="BK1257">
        <v>2</v>
      </c>
      <c r="BL1257">
        <v>70.959999999999994</v>
      </c>
      <c r="BM1257">
        <v>10.64</v>
      </c>
      <c r="BN1257">
        <v>81.599999999999994</v>
      </c>
      <c r="BO1257">
        <v>81.599999999999994</v>
      </c>
      <c r="BQ1257" t="s">
        <v>640</v>
      </c>
      <c r="BR1257" t="s">
        <v>97</v>
      </c>
      <c r="BS1257" s="3">
        <v>45943</v>
      </c>
      <c r="BT1257" s="4">
        <v>0.52083333333333337</v>
      </c>
      <c r="BU1257" t="s">
        <v>641</v>
      </c>
      <c r="BV1257" t="s">
        <v>86</v>
      </c>
      <c r="BY1257">
        <v>9600</v>
      </c>
      <c r="CA1257" t="s">
        <v>457</v>
      </c>
      <c r="CC1257" t="s">
        <v>454</v>
      </c>
      <c r="CD1257">
        <v>3610</v>
      </c>
      <c r="CE1257" t="s">
        <v>191</v>
      </c>
      <c r="CF1257" s="3">
        <v>45944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"080068445337"</f>
        <v>080068445337</v>
      </c>
      <c r="F1258" s="3">
        <v>45940</v>
      </c>
      <c r="G1258">
        <v>202607</v>
      </c>
      <c r="H1258" t="s">
        <v>79</v>
      </c>
      <c r="I1258" t="s">
        <v>80</v>
      </c>
      <c r="J1258" t="s">
        <v>91</v>
      </c>
      <c r="K1258" t="s">
        <v>78</v>
      </c>
      <c r="L1258" t="s">
        <v>79</v>
      </c>
      <c r="M1258" t="s">
        <v>80</v>
      </c>
      <c r="N1258" t="s">
        <v>1499</v>
      </c>
      <c r="O1258" t="s">
        <v>82</v>
      </c>
      <c r="P1258" t="str">
        <f>"4170063914                    "</f>
        <v xml:space="preserve">4170063914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17.46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55.42</v>
      </c>
      <c r="BM1258">
        <v>8.31</v>
      </c>
      <c r="BN1258">
        <v>63.73</v>
      </c>
      <c r="BO1258">
        <v>63.73</v>
      </c>
      <c r="BQ1258" t="s">
        <v>1500</v>
      </c>
      <c r="BR1258" t="s">
        <v>97</v>
      </c>
      <c r="BS1258" s="3">
        <v>45943</v>
      </c>
      <c r="BT1258" s="4">
        <v>0.39930555555555558</v>
      </c>
      <c r="BU1258" t="s">
        <v>2020</v>
      </c>
      <c r="BV1258" t="s">
        <v>86</v>
      </c>
      <c r="BY1258">
        <v>1200</v>
      </c>
      <c r="CC1258" t="s">
        <v>80</v>
      </c>
      <c r="CD1258">
        <v>1614</v>
      </c>
      <c r="CE1258" t="s">
        <v>147</v>
      </c>
      <c r="CF1258" s="3">
        <v>45943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"080068445346"</f>
        <v>080068445346</v>
      </c>
      <c r="F1259" s="3">
        <v>45940</v>
      </c>
      <c r="G1259">
        <v>202607</v>
      </c>
      <c r="H1259" t="s">
        <v>79</v>
      </c>
      <c r="I1259" t="s">
        <v>80</v>
      </c>
      <c r="J1259" t="s">
        <v>91</v>
      </c>
      <c r="K1259" t="s">
        <v>78</v>
      </c>
      <c r="L1259" t="s">
        <v>763</v>
      </c>
      <c r="M1259" t="s">
        <v>764</v>
      </c>
      <c r="N1259" t="s">
        <v>765</v>
      </c>
      <c r="O1259" t="s">
        <v>82</v>
      </c>
      <c r="P1259" t="str">
        <f>"4170063920                    "</f>
        <v xml:space="preserve">4170063920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43.31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137.47</v>
      </c>
      <c r="BM1259">
        <v>20.62</v>
      </c>
      <c r="BN1259">
        <v>158.09</v>
      </c>
      <c r="BO1259">
        <v>158.09</v>
      </c>
      <c r="BQ1259" t="s">
        <v>766</v>
      </c>
      <c r="BR1259" t="s">
        <v>97</v>
      </c>
      <c r="BS1259" s="3">
        <v>45943</v>
      </c>
      <c r="BT1259" s="4">
        <v>0.53402777777777777</v>
      </c>
      <c r="BU1259" t="s">
        <v>2021</v>
      </c>
      <c r="BV1259" t="s">
        <v>86</v>
      </c>
      <c r="BY1259">
        <v>1200</v>
      </c>
      <c r="CA1259" t="s">
        <v>768</v>
      </c>
      <c r="CC1259" t="s">
        <v>764</v>
      </c>
      <c r="CD1259">
        <v>2531</v>
      </c>
      <c r="CE1259" t="s">
        <v>147</v>
      </c>
      <c r="CF1259" s="3">
        <v>45944</v>
      </c>
      <c r="CI1259">
        <v>1</v>
      </c>
      <c r="CJ1259">
        <v>1</v>
      </c>
      <c r="CK1259">
        <v>23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"080068445359"</f>
        <v>080068445359</v>
      </c>
      <c r="F1260" s="3">
        <v>45940</v>
      </c>
      <c r="G1260">
        <v>202607</v>
      </c>
      <c r="H1260" t="s">
        <v>79</v>
      </c>
      <c r="I1260" t="s">
        <v>80</v>
      </c>
      <c r="J1260" t="s">
        <v>91</v>
      </c>
      <c r="K1260" t="s">
        <v>78</v>
      </c>
      <c r="L1260" t="s">
        <v>195</v>
      </c>
      <c r="M1260" t="s">
        <v>196</v>
      </c>
      <c r="N1260" t="s">
        <v>2022</v>
      </c>
      <c r="O1260" t="s">
        <v>82</v>
      </c>
      <c r="P1260" t="str">
        <f>"4170063912                    "</f>
        <v xml:space="preserve">4170063912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43.31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137.47</v>
      </c>
      <c r="BM1260">
        <v>20.62</v>
      </c>
      <c r="BN1260">
        <v>158.09</v>
      </c>
      <c r="BO1260">
        <v>158.09</v>
      </c>
      <c r="BQ1260" t="s">
        <v>2023</v>
      </c>
      <c r="BR1260" t="s">
        <v>97</v>
      </c>
      <c r="BS1260" s="3">
        <v>45943</v>
      </c>
      <c r="BT1260" s="4">
        <v>0.34027777777777779</v>
      </c>
      <c r="BU1260" t="s">
        <v>2024</v>
      </c>
      <c r="BV1260" t="s">
        <v>86</v>
      </c>
      <c r="BY1260">
        <v>1200</v>
      </c>
      <c r="CA1260" t="s">
        <v>2025</v>
      </c>
      <c r="CC1260" t="s">
        <v>196</v>
      </c>
      <c r="CD1260">
        <v>1939</v>
      </c>
      <c r="CE1260" t="s">
        <v>147</v>
      </c>
      <c r="CF1260" s="3">
        <v>45944</v>
      </c>
      <c r="CI1260">
        <v>1</v>
      </c>
      <c r="CJ1260">
        <v>1</v>
      </c>
      <c r="CK1260">
        <v>23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"080068445465"</f>
        <v>080068445465</v>
      </c>
      <c r="F1261" s="3">
        <v>45940</v>
      </c>
      <c r="G1261">
        <v>202607</v>
      </c>
      <c r="H1261" t="s">
        <v>79</v>
      </c>
      <c r="I1261" t="s">
        <v>80</v>
      </c>
      <c r="J1261" t="s">
        <v>91</v>
      </c>
      <c r="K1261" t="s">
        <v>78</v>
      </c>
      <c r="L1261" t="s">
        <v>206</v>
      </c>
      <c r="M1261" t="s">
        <v>207</v>
      </c>
      <c r="N1261" t="s">
        <v>2026</v>
      </c>
      <c r="O1261" t="s">
        <v>82</v>
      </c>
      <c r="P1261" t="str">
        <f>"4170063926                    "</f>
        <v xml:space="preserve">4170063926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100.54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5</v>
      </c>
      <c r="BJ1261">
        <v>8.9</v>
      </c>
      <c r="BK1261">
        <v>9</v>
      </c>
      <c r="BL1261">
        <v>319.10000000000002</v>
      </c>
      <c r="BM1261">
        <v>47.87</v>
      </c>
      <c r="BN1261">
        <v>366.97</v>
      </c>
      <c r="BO1261">
        <v>366.97</v>
      </c>
      <c r="BQ1261" t="s">
        <v>2027</v>
      </c>
      <c r="BR1261" t="s">
        <v>97</v>
      </c>
      <c r="BS1261" s="3">
        <v>45943</v>
      </c>
      <c r="BT1261" s="4">
        <v>0.40138888888888891</v>
      </c>
      <c r="BU1261" t="s">
        <v>2028</v>
      </c>
      <c r="BV1261" t="s">
        <v>86</v>
      </c>
      <c r="BY1261">
        <v>44640</v>
      </c>
      <c r="CA1261" t="s">
        <v>2029</v>
      </c>
      <c r="CC1261" t="s">
        <v>207</v>
      </c>
      <c r="CD1261">
        <v>7500</v>
      </c>
      <c r="CE1261" t="s">
        <v>191</v>
      </c>
      <c r="CF1261" s="3">
        <v>45944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"080068445525"</f>
        <v>080068445525</v>
      </c>
      <c r="F1262" s="3">
        <v>45940</v>
      </c>
      <c r="G1262">
        <v>202607</v>
      </c>
      <c r="H1262" t="s">
        <v>79</v>
      </c>
      <c r="I1262" t="s">
        <v>80</v>
      </c>
      <c r="J1262" t="s">
        <v>91</v>
      </c>
      <c r="K1262" t="s">
        <v>78</v>
      </c>
      <c r="L1262" t="s">
        <v>530</v>
      </c>
      <c r="M1262" t="s">
        <v>531</v>
      </c>
      <c r="N1262" t="s">
        <v>754</v>
      </c>
      <c r="O1262" t="s">
        <v>82</v>
      </c>
      <c r="P1262" t="str">
        <f>"4170063889                    "</f>
        <v xml:space="preserve">4170063889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317.14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16</v>
      </c>
      <c r="BJ1262">
        <v>9.1</v>
      </c>
      <c r="BK1262">
        <v>16</v>
      </c>
      <c r="BL1262">
        <v>1006.58</v>
      </c>
      <c r="BM1262">
        <v>150.99</v>
      </c>
      <c r="BN1262">
        <v>1157.57</v>
      </c>
      <c r="BO1262">
        <v>1157.57</v>
      </c>
      <c r="BQ1262" t="s">
        <v>755</v>
      </c>
      <c r="BR1262" t="s">
        <v>97</v>
      </c>
      <c r="BS1262" s="3">
        <v>45943</v>
      </c>
      <c r="BT1262" s="4">
        <v>0.49236111111111114</v>
      </c>
      <c r="BU1262" t="s">
        <v>1906</v>
      </c>
      <c r="BV1262" t="s">
        <v>86</v>
      </c>
      <c r="BY1262">
        <v>45500</v>
      </c>
      <c r="CA1262" t="s">
        <v>535</v>
      </c>
      <c r="CC1262" t="s">
        <v>531</v>
      </c>
      <c r="CD1262">
        <v>6850</v>
      </c>
      <c r="CE1262" t="s">
        <v>191</v>
      </c>
      <c r="CF1262" s="3">
        <v>45944</v>
      </c>
      <c r="CI1262">
        <v>2</v>
      </c>
      <c r="CJ1262">
        <v>1</v>
      </c>
      <c r="CK1262">
        <v>23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"080068445873"</f>
        <v>080068445873</v>
      </c>
      <c r="F1263" s="3">
        <v>45940</v>
      </c>
      <c r="G1263">
        <v>202607</v>
      </c>
      <c r="H1263" t="s">
        <v>79</v>
      </c>
      <c r="I1263" t="s">
        <v>80</v>
      </c>
      <c r="J1263" t="s">
        <v>91</v>
      </c>
      <c r="K1263" t="s">
        <v>78</v>
      </c>
      <c r="L1263" t="s">
        <v>271</v>
      </c>
      <c r="M1263" t="s">
        <v>272</v>
      </c>
      <c r="N1263" t="s">
        <v>1428</v>
      </c>
      <c r="O1263" t="s">
        <v>226</v>
      </c>
      <c r="P1263" t="str">
        <f>"4170063832                    "</f>
        <v xml:space="preserve">4170063832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17.47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4</v>
      </c>
      <c r="BJ1263">
        <v>1.4</v>
      </c>
      <c r="BK1263">
        <v>4</v>
      </c>
      <c r="BL1263">
        <v>55.44</v>
      </c>
      <c r="BM1263">
        <v>8.32</v>
      </c>
      <c r="BN1263">
        <v>63.76</v>
      </c>
      <c r="BO1263">
        <v>63.76</v>
      </c>
      <c r="BQ1263" t="s">
        <v>1429</v>
      </c>
      <c r="BR1263" t="s">
        <v>97</v>
      </c>
      <c r="BS1263" s="3">
        <v>45943</v>
      </c>
      <c r="BT1263" s="4">
        <v>0.3347222222222222</v>
      </c>
      <c r="BU1263" t="s">
        <v>2030</v>
      </c>
      <c r="BV1263" t="s">
        <v>86</v>
      </c>
      <c r="BY1263">
        <v>7000</v>
      </c>
      <c r="CA1263" t="s">
        <v>280</v>
      </c>
      <c r="CC1263" t="s">
        <v>272</v>
      </c>
      <c r="CD1263">
        <v>1406</v>
      </c>
      <c r="CE1263" t="s">
        <v>191</v>
      </c>
      <c r="CF1263" s="3">
        <v>45943</v>
      </c>
      <c r="CI1263">
        <v>1</v>
      </c>
      <c r="CJ1263">
        <v>1</v>
      </c>
      <c r="CK1263">
        <v>32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"080068445945"</f>
        <v>080068445945</v>
      </c>
      <c r="F1264" s="3">
        <v>45940</v>
      </c>
      <c r="G1264">
        <v>202607</v>
      </c>
      <c r="H1264" t="s">
        <v>79</v>
      </c>
      <c r="I1264" t="s">
        <v>80</v>
      </c>
      <c r="J1264" t="s">
        <v>91</v>
      </c>
      <c r="K1264" t="s">
        <v>78</v>
      </c>
      <c r="L1264" t="s">
        <v>1255</v>
      </c>
      <c r="M1264" t="s">
        <v>1256</v>
      </c>
      <c r="N1264" t="s">
        <v>1257</v>
      </c>
      <c r="O1264" t="s">
        <v>82</v>
      </c>
      <c r="P1264" t="str">
        <f>"4170063947                    "</f>
        <v xml:space="preserve">4170063947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43.31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137.47</v>
      </c>
      <c r="BM1264">
        <v>20.62</v>
      </c>
      <c r="BN1264">
        <v>158.09</v>
      </c>
      <c r="BO1264">
        <v>158.09</v>
      </c>
      <c r="BQ1264" t="s">
        <v>1258</v>
      </c>
      <c r="BR1264" t="s">
        <v>97</v>
      </c>
      <c r="BS1264" s="3">
        <v>45943</v>
      </c>
      <c r="BT1264" s="4">
        <v>0.76944444444444449</v>
      </c>
      <c r="BU1264" t="s">
        <v>1259</v>
      </c>
      <c r="BV1264" t="s">
        <v>86</v>
      </c>
      <c r="BY1264">
        <v>1200</v>
      </c>
      <c r="CA1264" t="s">
        <v>1260</v>
      </c>
      <c r="CC1264" t="s">
        <v>1256</v>
      </c>
      <c r="CD1264">
        <v>2309</v>
      </c>
      <c r="CE1264" t="s">
        <v>147</v>
      </c>
      <c r="CF1264" s="3">
        <v>45944</v>
      </c>
      <c r="CI1264">
        <v>1</v>
      </c>
      <c r="CJ1264">
        <v>1</v>
      </c>
      <c r="CK1264">
        <v>23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"080068446017"</f>
        <v>080068446017</v>
      </c>
      <c r="F1265" s="3">
        <v>45940</v>
      </c>
      <c r="G1265">
        <v>202607</v>
      </c>
      <c r="H1265" t="s">
        <v>79</v>
      </c>
      <c r="I1265" t="s">
        <v>80</v>
      </c>
      <c r="J1265" t="s">
        <v>91</v>
      </c>
      <c r="K1265" t="s">
        <v>78</v>
      </c>
      <c r="L1265" t="s">
        <v>763</v>
      </c>
      <c r="M1265" t="s">
        <v>764</v>
      </c>
      <c r="N1265" t="s">
        <v>765</v>
      </c>
      <c r="O1265" t="s">
        <v>82</v>
      </c>
      <c r="P1265" t="str">
        <f>"4170063948                    "</f>
        <v xml:space="preserve">4170063948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43.31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137.47</v>
      </c>
      <c r="BM1265">
        <v>20.62</v>
      </c>
      <c r="BN1265">
        <v>158.09</v>
      </c>
      <c r="BO1265">
        <v>158.09</v>
      </c>
      <c r="BQ1265" t="s">
        <v>766</v>
      </c>
      <c r="BR1265" t="s">
        <v>97</v>
      </c>
      <c r="BS1265" s="3">
        <v>45943</v>
      </c>
      <c r="BT1265" s="4">
        <v>0.53402777777777777</v>
      </c>
      <c r="BU1265" t="s">
        <v>1003</v>
      </c>
      <c r="BV1265" t="s">
        <v>86</v>
      </c>
      <c r="BY1265">
        <v>1200</v>
      </c>
      <c r="CA1265" t="s">
        <v>768</v>
      </c>
      <c r="CC1265" t="s">
        <v>764</v>
      </c>
      <c r="CD1265">
        <v>2531</v>
      </c>
      <c r="CE1265" t="s">
        <v>147</v>
      </c>
      <c r="CF1265" s="3">
        <v>45944</v>
      </c>
      <c r="CI1265">
        <v>1</v>
      </c>
      <c r="CJ1265">
        <v>1</v>
      </c>
      <c r="CK1265">
        <v>23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"080068446085"</f>
        <v>080068446085</v>
      </c>
      <c r="F1266" s="3">
        <v>45940</v>
      </c>
      <c r="G1266">
        <v>202607</v>
      </c>
      <c r="H1266" t="s">
        <v>79</v>
      </c>
      <c r="I1266" t="s">
        <v>80</v>
      </c>
      <c r="J1266" t="s">
        <v>91</v>
      </c>
      <c r="K1266" t="s">
        <v>78</v>
      </c>
      <c r="L1266" t="s">
        <v>108</v>
      </c>
      <c r="M1266" t="s">
        <v>109</v>
      </c>
      <c r="N1266" t="s">
        <v>2031</v>
      </c>
      <c r="O1266" t="s">
        <v>82</v>
      </c>
      <c r="P1266" t="str">
        <f>"4170063944                    "</f>
        <v xml:space="preserve">4170063944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22.36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70.959999999999994</v>
      </c>
      <c r="BM1266">
        <v>10.64</v>
      </c>
      <c r="BN1266">
        <v>81.599999999999994</v>
      </c>
      <c r="BO1266">
        <v>81.599999999999994</v>
      </c>
      <c r="BQ1266" t="s">
        <v>2032</v>
      </c>
      <c r="BR1266" t="s">
        <v>97</v>
      </c>
      <c r="BS1266" s="3">
        <v>45943</v>
      </c>
      <c r="BT1266" s="4">
        <v>0.41319444444444442</v>
      </c>
      <c r="BU1266" t="s">
        <v>2033</v>
      </c>
      <c r="BV1266" t="s">
        <v>86</v>
      </c>
      <c r="BY1266">
        <v>1200</v>
      </c>
      <c r="CA1266" t="s">
        <v>113</v>
      </c>
      <c r="CC1266" t="s">
        <v>109</v>
      </c>
      <c r="CD1266">
        <v>6001</v>
      </c>
      <c r="CE1266" t="s">
        <v>147</v>
      </c>
      <c r="CF1266" s="3">
        <v>45943</v>
      </c>
      <c r="CI1266">
        <v>1</v>
      </c>
      <c r="CJ1266">
        <v>1</v>
      </c>
      <c r="CK1266">
        <v>21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"080068446445"</f>
        <v>080068446445</v>
      </c>
      <c r="F1267" s="3">
        <v>45940</v>
      </c>
      <c r="G1267">
        <v>202607</v>
      </c>
      <c r="H1267" t="s">
        <v>79</v>
      </c>
      <c r="I1267" t="s">
        <v>80</v>
      </c>
      <c r="J1267" t="s">
        <v>91</v>
      </c>
      <c r="K1267" t="s">
        <v>78</v>
      </c>
      <c r="L1267" t="s">
        <v>168</v>
      </c>
      <c r="M1267" t="s">
        <v>169</v>
      </c>
      <c r="N1267" t="s">
        <v>2034</v>
      </c>
      <c r="O1267" t="s">
        <v>82</v>
      </c>
      <c r="P1267" t="str">
        <f>"4170063898                    "</f>
        <v xml:space="preserve">4170063898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22.36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70.959999999999994</v>
      </c>
      <c r="BM1267">
        <v>10.64</v>
      </c>
      <c r="BN1267">
        <v>81.599999999999994</v>
      </c>
      <c r="BO1267">
        <v>81.599999999999994</v>
      </c>
      <c r="BQ1267" t="s">
        <v>2035</v>
      </c>
      <c r="BR1267" t="s">
        <v>97</v>
      </c>
      <c r="BS1267" s="3">
        <v>45943</v>
      </c>
      <c r="BT1267" s="4">
        <v>0.36319444444444443</v>
      </c>
      <c r="BU1267" t="s">
        <v>2036</v>
      </c>
      <c r="BV1267" t="s">
        <v>86</v>
      </c>
      <c r="BY1267">
        <v>1200</v>
      </c>
      <c r="CC1267" t="s">
        <v>169</v>
      </c>
      <c r="CD1267" s="5" t="s">
        <v>2037</v>
      </c>
      <c r="CE1267" t="s">
        <v>147</v>
      </c>
      <c r="CF1267" s="3">
        <v>45943</v>
      </c>
      <c r="CI1267">
        <v>1</v>
      </c>
      <c r="CJ1267">
        <v>1</v>
      </c>
      <c r="CK1267">
        <v>21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"080068446462"</f>
        <v>080068446462</v>
      </c>
      <c r="F1268" s="3">
        <v>45940</v>
      </c>
      <c r="G1268">
        <v>202607</v>
      </c>
      <c r="H1268" t="s">
        <v>79</v>
      </c>
      <c r="I1268" t="s">
        <v>80</v>
      </c>
      <c r="J1268" t="s">
        <v>91</v>
      </c>
      <c r="K1268" t="s">
        <v>78</v>
      </c>
      <c r="L1268" t="s">
        <v>121</v>
      </c>
      <c r="M1268" t="s">
        <v>122</v>
      </c>
      <c r="N1268" t="s">
        <v>154</v>
      </c>
      <c r="O1268" t="s">
        <v>82</v>
      </c>
      <c r="P1268" t="str">
        <f>"4170063945                    "</f>
        <v xml:space="preserve">4170063945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22.36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70.959999999999994</v>
      </c>
      <c r="BM1268">
        <v>10.64</v>
      </c>
      <c r="BN1268">
        <v>81.599999999999994</v>
      </c>
      <c r="BO1268">
        <v>81.599999999999994</v>
      </c>
      <c r="BQ1268" t="s">
        <v>155</v>
      </c>
      <c r="BR1268" t="s">
        <v>97</v>
      </c>
      <c r="BS1268" s="3">
        <v>45943</v>
      </c>
      <c r="BT1268" s="4">
        <v>0.81736111111111109</v>
      </c>
      <c r="BU1268" t="s">
        <v>2038</v>
      </c>
      <c r="BV1268" t="s">
        <v>90</v>
      </c>
      <c r="BW1268" t="s">
        <v>136</v>
      </c>
      <c r="BX1268" t="s">
        <v>787</v>
      </c>
      <c r="BY1268">
        <v>1200</v>
      </c>
      <c r="CA1268" t="s">
        <v>157</v>
      </c>
      <c r="CC1268" t="s">
        <v>122</v>
      </c>
      <c r="CD1268">
        <v>4052</v>
      </c>
      <c r="CE1268" t="s">
        <v>147</v>
      </c>
      <c r="CF1268" s="3">
        <v>45943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"080068446479"</f>
        <v>080068446479</v>
      </c>
      <c r="F1269" s="3">
        <v>45940</v>
      </c>
      <c r="G1269">
        <v>202607</v>
      </c>
      <c r="H1269" t="s">
        <v>79</v>
      </c>
      <c r="I1269" t="s">
        <v>80</v>
      </c>
      <c r="J1269" t="s">
        <v>91</v>
      </c>
      <c r="K1269" t="s">
        <v>78</v>
      </c>
      <c r="L1269" t="s">
        <v>108</v>
      </c>
      <c r="M1269" t="s">
        <v>109</v>
      </c>
      <c r="N1269" t="s">
        <v>229</v>
      </c>
      <c r="O1269" t="s">
        <v>82</v>
      </c>
      <c r="P1269" t="str">
        <f>"4170063924                    "</f>
        <v xml:space="preserve">4170063924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22.36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70.959999999999994</v>
      </c>
      <c r="BM1269">
        <v>10.64</v>
      </c>
      <c r="BN1269">
        <v>81.599999999999994</v>
      </c>
      <c r="BO1269">
        <v>81.599999999999994</v>
      </c>
      <c r="BQ1269" t="s">
        <v>230</v>
      </c>
      <c r="BR1269" t="s">
        <v>97</v>
      </c>
      <c r="BS1269" s="3">
        <v>45943</v>
      </c>
      <c r="BT1269" s="4">
        <v>0.36666666666666664</v>
      </c>
      <c r="BU1269" t="s">
        <v>1959</v>
      </c>
      <c r="BV1269" t="s">
        <v>86</v>
      </c>
      <c r="BY1269">
        <v>1200</v>
      </c>
      <c r="CA1269" t="s">
        <v>1145</v>
      </c>
      <c r="CC1269" t="s">
        <v>109</v>
      </c>
      <c r="CD1269">
        <v>6001</v>
      </c>
      <c r="CE1269" t="s">
        <v>147</v>
      </c>
      <c r="CF1269" s="3">
        <v>45943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"080068446485"</f>
        <v>080068446485</v>
      </c>
      <c r="F1270" s="3">
        <v>45940</v>
      </c>
      <c r="G1270">
        <v>202607</v>
      </c>
      <c r="H1270" t="s">
        <v>79</v>
      </c>
      <c r="I1270" t="s">
        <v>80</v>
      </c>
      <c r="J1270" t="s">
        <v>91</v>
      </c>
      <c r="K1270" t="s">
        <v>78</v>
      </c>
      <c r="L1270" t="s">
        <v>79</v>
      </c>
      <c r="M1270" t="s">
        <v>80</v>
      </c>
      <c r="N1270" t="s">
        <v>539</v>
      </c>
      <c r="O1270" t="s">
        <v>82</v>
      </c>
      <c r="P1270" t="str">
        <f>"4170063929                    "</f>
        <v xml:space="preserve">4170063929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17.46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3.3</v>
      </c>
      <c r="BK1270">
        <v>4</v>
      </c>
      <c r="BL1270">
        <v>55.42</v>
      </c>
      <c r="BM1270">
        <v>8.31</v>
      </c>
      <c r="BN1270">
        <v>63.73</v>
      </c>
      <c r="BO1270">
        <v>63.73</v>
      </c>
      <c r="BQ1270" t="s">
        <v>540</v>
      </c>
      <c r="BR1270" t="s">
        <v>97</v>
      </c>
      <c r="BS1270" s="3">
        <v>45943</v>
      </c>
      <c r="BT1270" s="4">
        <v>0.40972222222222221</v>
      </c>
      <c r="BU1270" t="s">
        <v>2039</v>
      </c>
      <c r="BV1270" t="s">
        <v>86</v>
      </c>
      <c r="BY1270">
        <v>16492</v>
      </c>
      <c r="CC1270" t="s">
        <v>80</v>
      </c>
      <c r="CD1270">
        <v>1614</v>
      </c>
      <c r="CE1270" t="s">
        <v>107</v>
      </c>
      <c r="CF1270" s="3">
        <v>45943</v>
      </c>
      <c r="CI1270">
        <v>1</v>
      </c>
      <c r="CJ1270">
        <v>1</v>
      </c>
      <c r="CK1270">
        <v>22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"080068446497"</f>
        <v>080068446497</v>
      </c>
      <c r="F1271" s="3">
        <v>45940</v>
      </c>
      <c r="G1271">
        <v>202607</v>
      </c>
      <c r="H1271" t="s">
        <v>79</v>
      </c>
      <c r="I1271" t="s">
        <v>80</v>
      </c>
      <c r="J1271" t="s">
        <v>91</v>
      </c>
      <c r="K1271" t="s">
        <v>78</v>
      </c>
      <c r="L1271" t="s">
        <v>1095</v>
      </c>
      <c r="M1271" t="s">
        <v>1096</v>
      </c>
      <c r="N1271" t="s">
        <v>1097</v>
      </c>
      <c r="O1271" t="s">
        <v>82</v>
      </c>
      <c r="P1271" t="str">
        <f>"4170063937                    "</f>
        <v xml:space="preserve">4170063937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62.87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3</v>
      </c>
      <c r="BJ1271">
        <v>1.7</v>
      </c>
      <c r="BK1271">
        <v>3</v>
      </c>
      <c r="BL1271">
        <v>199.55</v>
      </c>
      <c r="BM1271">
        <v>29.93</v>
      </c>
      <c r="BN1271">
        <v>229.48</v>
      </c>
      <c r="BO1271">
        <v>229.48</v>
      </c>
      <c r="BQ1271" t="s">
        <v>1098</v>
      </c>
      <c r="BR1271" t="s">
        <v>97</v>
      </c>
      <c r="BS1271" s="3">
        <v>45943</v>
      </c>
      <c r="BT1271" s="4">
        <v>0.42499999999999999</v>
      </c>
      <c r="BU1271" t="s">
        <v>2040</v>
      </c>
      <c r="BV1271" t="s">
        <v>86</v>
      </c>
      <c r="BY1271">
        <v>8512</v>
      </c>
      <c r="CA1271" t="s">
        <v>2041</v>
      </c>
      <c r="CC1271" t="s">
        <v>1096</v>
      </c>
      <c r="CD1271">
        <v>2302</v>
      </c>
      <c r="CE1271" t="s">
        <v>191</v>
      </c>
      <c r="CF1271" s="3">
        <v>45944</v>
      </c>
      <c r="CI1271">
        <v>1</v>
      </c>
      <c r="CJ1271">
        <v>1</v>
      </c>
      <c r="CK1271">
        <v>23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"080068446510"</f>
        <v>080068446510</v>
      </c>
      <c r="F1272" s="3">
        <v>45940</v>
      </c>
      <c r="G1272">
        <v>202607</v>
      </c>
      <c r="H1272" t="s">
        <v>79</v>
      </c>
      <c r="I1272" t="s">
        <v>80</v>
      </c>
      <c r="J1272" t="s">
        <v>91</v>
      </c>
      <c r="K1272" t="s">
        <v>78</v>
      </c>
      <c r="L1272" t="s">
        <v>206</v>
      </c>
      <c r="M1272" t="s">
        <v>207</v>
      </c>
      <c r="N1272" t="s">
        <v>1646</v>
      </c>
      <c r="O1272" t="s">
        <v>82</v>
      </c>
      <c r="P1272" t="str">
        <f>"4170063917                    "</f>
        <v xml:space="preserve">4170063917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22.36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1.9</v>
      </c>
      <c r="BK1272">
        <v>2</v>
      </c>
      <c r="BL1272">
        <v>70.959999999999994</v>
      </c>
      <c r="BM1272">
        <v>10.64</v>
      </c>
      <c r="BN1272">
        <v>81.599999999999994</v>
      </c>
      <c r="BO1272">
        <v>81.599999999999994</v>
      </c>
      <c r="BQ1272" t="s">
        <v>1647</v>
      </c>
      <c r="BR1272" t="s">
        <v>97</v>
      </c>
      <c r="BS1272" s="3">
        <v>45944</v>
      </c>
      <c r="BT1272" s="4">
        <v>0.60138888888888886</v>
      </c>
      <c r="BU1272" t="s">
        <v>2042</v>
      </c>
      <c r="BV1272" t="s">
        <v>90</v>
      </c>
      <c r="BW1272" t="s">
        <v>347</v>
      </c>
      <c r="BX1272" t="s">
        <v>2043</v>
      </c>
      <c r="BY1272">
        <v>9600</v>
      </c>
      <c r="CA1272" t="s">
        <v>1650</v>
      </c>
      <c r="CC1272" t="s">
        <v>207</v>
      </c>
      <c r="CD1272">
        <v>7550</v>
      </c>
      <c r="CE1272" t="s">
        <v>191</v>
      </c>
      <c r="CF1272" s="3">
        <v>45945</v>
      </c>
      <c r="CI1272">
        <v>1</v>
      </c>
      <c r="CJ1272">
        <v>2</v>
      </c>
      <c r="CK1272">
        <v>21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"080068446522"</f>
        <v>080068446522</v>
      </c>
      <c r="F1273" s="3">
        <v>45940</v>
      </c>
      <c r="G1273">
        <v>202607</v>
      </c>
      <c r="H1273" t="s">
        <v>79</v>
      </c>
      <c r="I1273" t="s">
        <v>80</v>
      </c>
      <c r="J1273" t="s">
        <v>91</v>
      </c>
      <c r="K1273" t="s">
        <v>78</v>
      </c>
      <c r="L1273" t="s">
        <v>108</v>
      </c>
      <c r="M1273" t="s">
        <v>109</v>
      </c>
      <c r="N1273" t="s">
        <v>229</v>
      </c>
      <c r="O1273" t="s">
        <v>82</v>
      </c>
      <c r="P1273" t="str">
        <f>"4170063943                    "</f>
        <v xml:space="preserve">4170063943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33.520000000000003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</v>
      </c>
      <c r="BJ1273">
        <v>1.1000000000000001</v>
      </c>
      <c r="BK1273">
        <v>3</v>
      </c>
      <c r="BL1273">
        <v>106.4</v>
      </c>
      <c r="BM1273">
        <v>15.96</v>
      </c>
      <c r="BN1273">
        <v>122.36</v>
      </c>
      <c r="BO1273">
        <v>122.36</v>
      </c>
      <c r="BQ1273" t="s">
        <v>230</v>
      </c>
      <c r="BR1273" t="s">
        <v>97</v>
      </c>
      <c r="BS1273" s="3">
        <v>45943</v>
      </c>
      <c r="BT1273" s="4">
        <v>0.36666666666666664</v>
      </c>
      <c r="BU1273" t="s">
        <v>1959</v>
      </c>
      <c r="BV1273" t="s">
        <v>86</v>
      </c>
      <c r="BY1273">
        <v>5320</v>
      </c>
      <c r="CA1273" t="s">
        <v>1145</v>
      </c>
      <c r="CC1273" t="s">
        <v>109</v>
      </c>
      <c r="CD1273">
        <v>6001</v>
      </c>
      <c r="CE1273" t="s">
        <v>191</v>
      </c>
      <c r="CF1273" s="3">
        <v>45943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"080068446571"</f>
        <v>080068446571</v>
      </c>
      <c r="F1274" s="3">
        <v>45940</v>
      </c>
      <c r="G1274">
        <v>202607</v>
      </c>
      <c r="H1274" t="s">
        <v>79</v>
      </c>
      <c r="I1274" t="s">
        <v>80</v>
      </c>
      <c r="J1274" t="s">
        <v>91</v>
      </c>
      <c r="K1274" t="s">
        <v>78</v>
      </c>
      <c r="L1274" t="s">
        <v>168</v>
      </c>
      <c r="M1274" t="s">
        <v>169</v>
      </c>
      <c r="N1274" t="s">
        <v>2044</v>
      </c>
      <c r="O1274" t="s">
        <v>95</v>
      </c>
      <c r="P1274" t="str">
        <f>"4170063958                    "</f>
        <v xml:space="preserve">4170063958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53.94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21</v>
      </c>
      <c r="BJ1274">
        <v>9.1</v>
      </c>
      <c r="BK1274">
        <v>21</v>
      </c>
      <c r="BL1274">
        <v>177.07</v>
      </c>
      <c r="BM1274">
        <v>26.56</v>
      </c>
      <c r="BN1274">
        <v>203.63</v>
      </c>
      <c r="BO1274">
        <v>203.63</v>
      </c>
      <c r="BQ1274" t="s">
        <v>2045</v>
      </c>
      <c r="BR1274" t="s">
        <v>97</v>
      </c>
      <c r="BS1274" s="3">
        <v>45943</v>
      </c>
      <c r="BT1274" s="4">
        <v>0.54166666666666663</v>
      </c>
      <c r="BU1274" t="s">
        <v>2046</v>
      </c>
      <c r="BV1274" t="s">
        <v>86</v>
      </c>
      <c r="BY1274">
        <v>45500</v>
      </c>
      <c r="CA1274">
        <v>8303236124087</v>
      </c>
      <c r="CC1274" t="s">
        <v>169</v>
      </c>
      <c r="CD1274" s="5" t="s">
        <v>190</v>
      </c>
      <c r="CE1274" t="s">
        <v>931</v>
      </c>
      <c r="CF1274" s="3">
        <v>45943</v>
      </c>
      <c r="CI1274">
        <v>1</v>
      </c>
      <c r="CJ1274">
        <v>1</v>
      </c>
      <c r="CK1274">
        <v>41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"080068446590"</f>
        <v>080068446590</v>
      </c>
      <c r="F1275" s="3">
        <v>45940</v>
      </c>
      <c r="G1275">
        <v>202607</v>
      </c>
      <c r="H1275" t="s">
        <v>79</v>
      </c>
      <c r="I1275" t="s">
        <v>80</v>
      </c>
      <c r="J1275" t="s">
        <v>91</v>
      </c>
      <c r="K1275" t="s">
        <v>78</v>
      </c>
      <c r="L1275" t="s">
        <v>92</v>
      </c>
      <c r="M1275" t="s">
        <v>93</v>
      </c>
      <c r="N1275" t="s">
        <v>2047</v>
      </c>
      <c r="O1275" t="s">
        <v>95</v>
      </c>
      <c r="P1275" t="str">
        <f>"4170063899                    "</f>
        <v xml:space="preserve">4170063899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55.72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22</v>
      </c>
      <c r="BJ1275">
        <v>8.9</v>
      </c>
      <c r="BK1275">
        <v>22</v>
      </c>
      <c r="BL1275">
        <v>182.73</v>
      </c>
      <c r="BM1275">
        <v>27.41</v>
      </c>
      <c r="BN1275">
        <v>210.14</v>
      </c>
      <c r="BO1275">
        <v>210.14</v>
      </c>
      <c r="BQ1275" t="s">
        <v>2048</v>
      </c>
      <c r="BR1275" t="s">
        <v>97</v>
      </c>
      <c r="BS1275" s="3">
        <v>45943</v>
      </c>
      <c r="BT1275" s="4">
        <v>0.50347222222222221</v>
      </c>
      <c r="BU1275" t="s">
        <v>2049</v>
      </c>
      <c r="BV1275" t="s">
        <v>86</v>
      </c>
      <c r="BY1275">
        <v>44640</v>
      </c>
      <c r="CC1275" t="s">
        <v>93</v>
      </c>
      <c r="CD1275">
        <v>3212</v>
      </c>
      <c r="CE1275" t="s">
        <v>191</v>
      </c>
      <c r="CF1275" s="3">
        <v>45944</v>
      </c>
      <c r="CI1275">
        <v>3</v>
      </c>
      <c r="CJ1275">
        <v>1</v>
      </c>
      <c r="CK1275">
        <v>41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"080068446662"</f>
        <v>080068446662</v>
      </c>
      <c r="F1276" s="3">
        <v>45940</v>
      </c>
      <c r="G1276">
        <v>202607</v>
      </c>
      <c r="H1276" t="s">
        <v>79</v>
      </c>
      <c r="I1276" t="s">
        <v>80</v>
      </c>
      <c r="J1276" t="s">
        <v>91</v>
      </c>
      <c r="K1276" t="s">
        <v>78</v>
      </c>
      <c r="L1276" t="s">
        <v>148</v>
      </c>
      <c r="M1276" t="s">
        <v>149</v>
      </c>
      <c r="N1276" t="s">
        <v>2050</v>
      </c>
      <c r="O1276" t="s">
        <v>95</v>
      </c>
      <c r="P1276" t="str">
        <f>"4170063923                    "</f>
        <v xml:space="preserve">4170063923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38.24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20</v>
      </c>
      <c r="BJ1276">
        <v>8.9</v>
      </c>
      <c r="BK1276">
        <v>20</v>
      </c>
      <c r="BL1276">
        <v>127.23</v>
      </c>
      <c r="BM1276">
        <v>19.079999999999998</v>
      </c>
      <c r="BN1276">
        <v>146.31</v>
      </c>
      <c r="BO1276">
        <v>146.31</v>
      </c>
      <c r="BQ1276" t="s">
        <v>2051</v>
      </c>
      <c r="BR1276" t="s">
        <v>97</v>
      </c>
      <c r="BS1276" s="3">
        <v>45943</v>
      </c>
      <c r="BT1276" s="4">
        <v>0.39583333333333331</v>
      </c>
      <c r="BU1276" t="s">
        <v>2052</v>
      </c>
      <c r="BV1276" t="s">
        <v>86</v>
      </c>
      <c r="BY1276">
        <v>44640</v>
      </c>
      <c r="CA1276" t="s">
        <v>519</v>
      </c>
      <c r="CC1276" t="s">
        <v>149</v>
      </c>
      <c r="CD1276">
        <v>2197</v>
      </c>
      <c r="CE1276" t="s">
        <v>191</v>
      </c>
      <c r="CF1276" s="3">
        <v>45943</v>
      </c>
      <c r="CI1276">
        <v>1</v>
      </c>
      <c r="CJ1276">
        <v>1</v>
      </c>
      <c r="CK1276">
        <v>42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"080068446717"</f>
        <v>080068446717</v>
      </c>
      <c r="F1277" s="3">
        <v>45940</v>
      </c>
      <c r="G1277">
        <v>202607</v>
      </c>
      <c r="H1277" t="s">
        <v>79</v>
      </c>
      <c r="I1277" t="s">
        <v>80</v>
      </c>
      <c r="J1277" t="s">
        <v>91</v>
      </c>
      <c r="K1277" t="s">
        <v>78</v>
      </c>
      <c r="L1277" t="s">
        <v>92</v>
      </c>
      <c r="M1277" t="s">
        <v>93</v>
      </c>
      <c r="N1277" t="s">
        <v>601</v>
      </c>
      <c r="O1277" t="s">
        <v>82</v>
      </c>
      <c r="P1277" t="str">
        <f>"4170063904                    "</f>
        <v xml:space="preserve">4170063904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22.36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70.959999999999994</v>
      </c>
      <c r="BM1277">
        <v>10.64</v>
      </c>
      <c r="BN1277">
        <v>81.599999999999994</v>
      </c>
      <c r="BO1277">
        <v>81.599999999999994</v>
      </c>
      <c r="BQ1277" t="s">
        <v>602</v>
      </c>
      <c r="BR1277" t="s">
        <v>97</v>
      </c>
      <c r="BS1277" s="3">
        <v>45943</v>
      </c>
      <c r="BT1277" s="4">
        <v>0.49652777777777779</v>
      </c>
      <c r="BU1277" t="s">
        <v>852</v>
      </c>
      <c r="BV1277" t="s">
        <v>86</v>
      </c>
      <c r="BY1277">
        <v>1200</v>
      </c>
      <c r="CC1277" t="s">
        <v>93</v>
      </c>
      <c r="CD1277">
        <v>3212</v>
      </c>
      <c r="CE1277" t="s">
        <v>147</v>
      </c>
      <c r="CF1277" s="3">
        <v>45944</v>
      </c>
      <c r="CI1277">
        <v>2</v>
      </c>
      <c r="CJ1277">
        <v>1</v>
      </c>
      <c r="CK1277">
        <v>21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"080068446729"</f>
        <v>080068446729</v>
      </c>
      <c r="F1278" s="3">
        <v>45940</v>
      </c>
      <c r="G1278">
        <v>202607</v>
      </c>
      <c r="H1278" t="s">
        <v>79</v>
      </c>
      <c r="I1278" t="s">
        <v>80</v>
      </c>
      <c r="J1278" t="s">
        <v>91</v>
      </c>
      <c r="K1278" t="s">
        <v>78</v>
      </c>
      <c r="L1278" t="s">
        <v>206</v>
      </c>
      <c r="M1278" t="s">
        <v>207</v>
      </c>
      <c r="N1278" t="s">
        <v>698</v>
      </c>
      <c r="O1278" t="s">
        <v>82</v>
      </c>
      <c r="P1278" t="str">
        <f>"4170063911                    "</f>
        <v xml:space="preserve">4170063911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22.36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70.959999999999994</v>
      </c>
      <c r="BM1278">
        <v>10.64</v>
      </c>
      <c r="BN1278">
        <v>81.599999999999994</v>
      </c>
      <c r="BO1278">
        <v>81.599999999999994</v>
      </c>
      <c r="BQ1278" t="s">
        <v>699</v>
      </c>
      <c r="BR1278" t="s">
        <v>97</v>
      </c>
      <c r="BS1278" s="3">
        <v>45943</v>
      </c>
      <c r="BT1278" s="4">
        <v>0.43333333333333335</v>
      </c>
      <c r="BU1278" t="s">
        <v>700</v>
      </c>
      <c r="BV1278" t="s">
        <v>86</v>
      </c>
      <c r="BY1278">
        <v>1200</v>
      </c>
      <c r="CA1278" t="s">
        <v>375</v>
      </c>
      <c r="CC1278" t="s">
        <v>207</v>
      </c>
      <c r="CD1278">
        <v>7800</v>
      </c>
      <c r="CE1278" t="s">
        <v>147</v>
      </c>
      <c r="CF1278" s="3">
        <v>45944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"080068446753"</f>
        <v>080068446753</v>
      </c>
      <c r="F1279" s="3">
        <v>45940</v>
      </c>
      <c r="G1279">
        <v>202607</v>
      </c>
      <c r="H1279" t="s">
        <v>79</v>
      </c>
      <c r="I1279" t="s">
        <v>80</v>
      </c>
      <c r="J1279" t="s">
        <v>91</v>
      </c>
      <c r="K1279" t="s">
        <v>78</v>
      </c>
      <c r="L1279" t="s">
        <v>108</v>
      </c>
      <c r="M1279" t="s">
        <v>109</v>
      </c>
      <c r="N1279" t="s">
        <v>997</v>
      </c>
      <c r="O1279" t="s">
        <v>82</v>
      </c>
      <c r="P1279" t="str">
        <f>"4170063908                    "</f>
        <v xml:space="preserve">4170063908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22.36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70.959999999999994</v>
      </c>
      <c r="BM1279">
        <v>10.64</v>
      </c>
      <c r="BN1279">
        <v>81.599999999999994</v>
      </c>
      <c r="BO1279">
        <v>81.599999999999994</v>
      </c>
      <c r="BQ1279" t="s">
        <v>998</v>
      </c>
      <c r="BR1279" t="s">
        <v>97</v>
      </c>
      <c r="BS1279" s="3">
        <v>45943</v>
      </c>
      <c r="BT1279" s="4">
        <v>0.34444444444444444</v>
      </c>
      <c r="BU1279" t="s">
        <v>999</v>
      </c>
      <c r="BV1279" t="s">
        <v>86</v>
      </c>
      <c r="BY1279">
        <v>1200</v>
      </c>
      <c r="CA1279" t="s">
        <v>1000</v>
      </c>
      <c r="CC1279" t="s">
        <v>109</v>
      </c>
      <c r="CD1279">
        <v>6001</v>
      </c>
      <c r="CE1279" t="s">
        <v>147</v>
      </c>
      <c r="CF1279" s="3">
        <v>45943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"080068446769"</f>
        <v>080068446769</v>
      </c>
      <c r="F1280" s="3">
        <v>45940</v>
      </c>
      <c r="G1280">
        <v>202607</v>
      </c>
      <c r="H1280" t="s">
        <v>79</v>
      </c>
      <c r="I1280" t="s">
        <v>80</v>
      </c>
      <c r="J1280" t="s">
        <v>91</v>
      </c>
      <c r="K1280" t="s">
        <v>78</v>
      </c>
      <c r="L1280" t="s">
        <v>168</v>
      </c>
      <c r="M1280" t="s">
        <v>169</v>
      </c>
      <c r="N1280" t="s">
        <v>2053</v>
      </c>
      <c r="O1280" t="s">
        <v>95</v>
      </c>
      <c r="P1280" t="str">
        <f>"4170063953                    "</f>
        <v xml:space="preserve">4170063953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43.23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7</v>
      </c>
      <c r="BJ1280">
        <v>8.9</v>
      </c>
      <c r="BK1280">
        <v>9</v>
      </c>
      <c r="BL1280">
        <v>143.08000000000001</v>
      </c>
      <c r="BM1280">
        <v>21.46</v>
      </c>
      <c r="BN1280">
        <v>164.54</v>
      </c>
      <c r="BO1280">
        <v>164.54</v>
      </c>
      <c r="BQ1280" t="s">
        <v>2054</v>
      </c>
      <c r="BR1280" t="s">
        <v>97</v>
      </c>
      <c r="BS1280" s="3">
        <v>45943</v>
      </c>
      <c r="BT1280" s="4">
        <v>0.39652777777777776</v>
      </c>
      <c r="BU1280" t="s">
        <v>2055</v>
      </c>
      <c r="BV1280" t="s">
        <v>86</v>
      </c>
      <c r="BY1280">
        <v>44640</v>
      </c>
      <c r="CC1280" t="s">
        <v>169</v>
      </c>
      <c r="CD1280" s="5" t="s">
        <v>173</v>
      </c>
      <c r="CE1280" t="s">
        <v>191</v>
      </c>
      <c r="CF1280" s="3">
        <v>45943</v>
      </c>
      <c r="CI1280">
        <v>1</v>
      </c>
      <c r="CJ1280">
        <v>1</v>
      </c>
      <c r="CK1280">
        <v>41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"080068446805"</f>
        <v>080068446805</v>
      </c>
      <c r="F1281" s="3">
        <v>45940</v>
      </c>
      <c r="G1281">
        <v>202607</v>
      </c>
      <c r="H1281" t="s">
        <v>79</v>
      </c>
      <c r="I1281" t="s">
        <v>80</v>
      </c>
      <c r="J1281" t="s">
        <v>91</v>
      </c>
      <c r="K1281" t="s">
        <v>78</v>
      </c>
      <c r="L1281" t="s">
        <v>300</v>
      </c>
      <c r="M1281" t="s">
        <v>301</v>
      </c>
      <c r="N1281" t="s">
        <v>1893</v>
      </c>
      <c r="O1281" t="s">
        <v>82</v>
      </c>
      <c r="P1281" t="str">
        <f>"4170063956                    "</f>
        <v xml:space="preserve">4170063956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31.44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1.1000000000000001</v>
      </c>
      <c r="BK1281">
        <v>1.5</v>
      </c>
      <c r="BL1281">
        <v>99.79</v>
      </c>
      <c r="BM1281">
        <v>14.97</v>
      </c>
      <c r="BN1281">
        <v>114.76</v>
      </c>
      <c r="BO1281">
        <v>114.76</v>
      </c>
      <c r="BQ1281" t="s">
        <v>1894</v>
      </c>
      <c r="BR1281" t="s">
        <v>97</v>
      </c>
      <c r="BS1281" s="3">
        <v>45943</v>
      </c>
      <c r="BT1281" s="4">
        <v>0.65694444444444444</v>
      </c>
      <c r="BU1281" t="s">
        <v>1895</v>
      </c>
      <c r="BV1281" t="s">
        <v>90</v>
      </c>
      <c r="BW1281" t="s">
        <v>188</v>
      </c>
      <c r="BX1281" t="s">
        <v>1652</v>
      </c>
      <c r="BY1281">
        <v>5510</v>
      </c>
      <c r="CA1281" t="s">
        <v>305</v>
      </c>
      <c r="CC1281" t="s">
        <v>301</v>
      </c>
      <c r="CD1281">
        <v>1739</v>
      </c>
      <c r="CE1281" t="s">
        <v>191</v>
      </c>
      <c r="CF1281" s="3">
        <v>45944</v>
      </c>
      <c r="CI1281">
        <v>1</v>
      </c>
      <c r="CJ1281">
        <v>1</v>
      </c>
      <c r="CK1281">
        <v>24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"080068446836"</f>
        <v>080068446836</v>
      </c>
      <c r="F1282" s="3">
        <v>45940</v>
      </c>
      <c r="G1282">
        <v>202607</v>
      </c>
      <c r="H1282" t="s">
        <v>79</v>
      </c>
      <c r="I1282" t="s">
        <v>80</v>
      </c>
      <c r="J1282" t="s">
        <v>91</v>
      </c>
      <c r="K1282" t="s">
        <v>78</v>
      </c>
      <c r="L1282" t="s">
        <v>168</v>
      </c>
      <c r="M1282" t="s">
        <v>169</v>
      </c>
      <c r="N1282" t="s">
        <v>774</v>
      </c>
      <c r="O1282" t="s">
        <v>82</v>
      </c>
      <c r="P1282" t="str">
        <f>"4170063942                    "</f>
        <v xml:space="preserve">4170063942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22.36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1.1000000000000001</v>
      </c>
      <c r="BK1282">
        <v>1.5</v>
      </c>
      <c r="BL1282">
        <v>70.959999999999994</v>
      </c>
      <c r="BM1282">
        <v>10.64</v>
      </c>
      <c r="BN1282">
        <v>81.599999999999994</v>
      </c>
      <c r="BO1282">
        <v>81.599999999999994</v>
      </c>
      <c r="BQ1282" t="s">
        <v>775</v>
      </c>
      <c r="BR1282" t="s">
        <v>97</v>
      </c>
      <c r="BS1282" s="3">
        <v>45943</v>
      </c>
      <c r="BT1282" s="4">
        <v>0.38541666666666669</v>
      </c>
      <c r="BU1282" t="s">
        <v>1049</v>
      </c>
      <c r="BV1282" t="s">
        <v>86</v>
      </c>
      <c r="BY1282">
        <v>5510</v>
      </c>
      <c r="CC1282" t="s">
        <v>169</v>
      </c>
      <c r="CD1282" s="5" t="s">
        <v>190</v>
      </c>
      <c r="CE1282" t="s">
        <v>191</v>
      </c>
      <c r="CF1282" s="3">
        <v>45943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"080068447243"</f>
        <v>080068447243</v>
      </c>
      <c r="F1283" s="3">
        <v>45940</v>
      </c>
      <c r="G1283">
        <v>202607</v>
      </c>
      <c r="H1283" t="s">
        <v>79</v>
      </c>
      <c r="I1283" t="s">
        <v>80</v>
      </c>
      <c r="J1283" t="s">
        <v>91</v>
      </c>
      <c r="K1283" t="s">
        <v>78</v>
      </c>
      <c r="L1283" t="s">
        <v>322</v>
      </c>
      <c r="M1283" t="s">
        <v>322</v>
      </c>
      <c r="N1283" t="s">
        <v>376</v>
      </c>
      <c r="O1283" t="s">
        <v>82</v>
      </c>
      <c r="P1283" t="str">
        <f>"4170063961                    "</f>
        <v xml:space="preserve">4170063961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43.31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137.47</v>
      </c>
      <c r="BM1283">
        <v>20.62</v>
      </c>
      <c r="BN1283">
        <v>158.09</v>
      </c>
      <c r="BO1283">
        <v>158.09</v>
      </c>
      <c r="BQ1283" t="s">
        <v>377</v>
      </c>
      <c r="BR1283" t="s">
        <v>97</v>
      </c>
      <c r="BS1283" s="3">
        <v>45943</v>
      </c>
      <c r="BT1283" s="4">
        <v>0.53888888888888886</v>
      </c>
      <c r="BU1283" t="s">
        <v>1402</v>
      </c>
      <c r="BV1283" t="s">
        <v>86</v>
      </c>
      <c r="BY1283">
        <v>1200</v>
      </c>
      <c r="CA1283" t="s">
        <v>326</v>
      </c>
      <c r="CC1283" t="s">
        <v>322</v>
      </c>
      <c r="CD1283">
        <v>7646</v>
      </c>
      <c r="CE1283" t="s">
        <v>147</v>
      </c>
      <c r="CF1283" s="3">
        <v>45944</v>
      </c>
      <c r="CI1283">
        <v>1</v>
      </c>
      <c r="CJ1283">
        <v>1</v>
      </c>
      <c r="CK1283">
        <v>23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"080068447278"</f>
        <v>080068447278</v>
      </c>
      <c r="F1284" s="3">
        <v>45940</v>
      </c>
      <c r="G1284">
        <v>202607</v>
      </c>
      <c r="H1284" t="s">
        <v>79</v>
      </c>
      <c r="I1284" t="s">
        <v>80</v>
      </c>
      <c r="J1284" t="s">
        <v>91</v>
      </c>
      <c r="K1284" t="s">
        <v>78</v>
      </c>
      <c r="L1284" t="s">
        <v>306</v>
      </c>
      <c r="M1284" t="s">
        <v>307</v>
      </c>
      <c r="N1284" t="s">
        <v>308</v>
      </c>
      <c r="O1284" t="s">
        <v>82</v>
      </c>
      <c r="P1284" t="str">
        <f>"4170063916                    "</f>
        <v xml:space="preserve">4170063916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22.36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70.959999999999994</v>
      </c>
      <c r="BM1284">
        <v>10.64</v>
      </c>
      <c r="BN1284">
        <v>81.599999999999994</v>
      </c>
      <c r="BO1284">
        <v>81.599999999999994</v>
      </c>
      <c r="BQ1284" t="s">
        <v>309</v>
      </c>
      <c r="BR1284" t="s">
        <v>97</v>
      </c>
      <c r="BS1284" s="3">
        <v>45947</v>
      </c>
      <c r="BT1284" s="4">
        <v>0.76180555555555551</v>
      </c>
      <c r="BU1284" t="s">
        <v>2056</v>
      </c>
      <c r="BV1284" t="s">
        <v>90</v>
      </c>
      <c r="BY1284">
        <v>1200</v>
      </c>
      <c r="CA1284" t="s">
        <v>157</v>
      </c>
      <c r="CC1284" t="s">
        <v>307</v>
      </c>
      <c r="CD1284">
        <v>4113</v>
      </c>
      <c r="CE1284" t="s">
        <v>147</v>
      </c>
      <c r="CF1284" s="3">
        <v>45950</v>
      </c>
      <c r="CI1284">
        <v>1</v>
      </c>
      <c r="CJ1284">
        <v>5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"080068447294"</f>
        <v>080068447294</v>
      </c>
      <c r="F1285" s="3">
        <v>45940</v>
      </c>
      <c r="G1285">
        <v>202607</v>
      </c>
      <c r="H1285" t="s">
        <v>79</v>
      </c>
      <c r="I1285" t="s">
        <v>80</v>
      </c>
      <c r="J1285" t="s">
        <v>91</v>
      </c>
      <c r="K1285" t="s">
        <v>78</v>
      </c>
      <c r="L1285" t="s">
        <v>168</v>
      </c>
      <c r="M1285" t="s">
        <v>169</v>
      </c>
      <c r="N1285" t="s">
        <v>737</v>
      </c>
      <c r="O1285" t="s">
        <v>82</v>
      </c>
      <c r="P1285" t="str">
        <f>"4170063976                    "</f>
        <v xml:space="preserve">4170063976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22.36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70.959999999999994</v>
      </c>
      <c r="BM1285">
        <v>10.64</v>
      </c>
      <c r="BN1285">
        <v>81.599999999999994</v>
      </c>
      <c r="BO1285">
        <v>81.599999999999994</v>
      </c>
      <c r="BQ1285" t="s">
        <v>738</v>
      </c>
      <c r="BR1285" t="s">
        <v>97</v>
      </c>
      <c r="BS1285" s="3">
        <v>45943</v>
      </c>
      <c r="BT1285" s="4">
        <v>0.44791666666666669</v>
      </c>
      <c r="BU1285" t="s">
        <v>2057</v>
      </c>
      <c r="BV1285" t="s">
        <v>90</v>
      </c>
      <c r="BW1285" t="s">
        <v>188</v>
      </c>
      <c r="BX1285" t="s">
        <v>1087</v>
      </c>
      <c r="BY1285">
        <v>1200</v>
      </c>
      <c r="CC1285" t="s">
        <v>169</v>
      </c>
      <c r="CD1285" s="5" t="s">
        <v>173</v>
      </c>
      <c r="CE1285" t="s">
        <v>147</v>
      </c>
      <c r="CF1285" s="3">
        <v>45943</v>
      </c>
      <c r="CI1285">
        <v>1</v>
      </c>
      <c r="CJ1285">
        <v>1</v>
      </c>
      <c r="CK1285">
        <v>21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"080068447306"</f>
        <v>080068447306</v>
      </c>
      <c r="F1286" s="3">
        <v>45940</v>
      </c>
      <c r="G1286">
        <v>202607</v>
      </c>
      <c r="H1286" t="s">
        <v>79</v>
      </c>
      <c r="I1286" t="s">
        <v>80</v>
      </c>
      <c r="J1286" t="s">
        <v>91</v>
      </c>
      <c r="K1286" t="s">
        <v>78</v>
      </c>
      <c r="L1286" t="s">
        <v>342</v>
      </c>
      <c r="M1286" t="s">
        <v>343</v>
      </c>
      <c r="N1286" t="s">
        <v>344</v>
      </c>
      <c r="O1286" t="s">
        <v>82</v>
      </c>
      <c r="P1286" t="str">
        <f>"4170063938                    "</f>
        <v xml:space="preserve">4170063938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101.99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5</v>
      </c>
      <c r="BJ1286">
        <v>1.7</v>
      </c>
      <c r="BK1286">
        <v>5</v>
      </c>
      <c r="BL1286">
        <v>323.70999999999998</v>
      </c>
      <c r="BM1286">
        <v>48.56</v>
      </c>
      <c r="BN1286">
        <v>372.27</v>
      </c>
      <c r="BO1286">
        <v>372.27</v>
      </c>
      <c r="BQ1286" t="s">
        <v>345</v>
      </c>
      <c r="BR1286" t="s">
        <v>97</v>
      </c>
      <c r="BS1286" s="3">
        <v>45943</v>
      </c>
      <c r="BT1286" s="4">
        <v>0.54097222222222219</v>
      </c>
      <c r="BU1286" t="s">
        <v>1405</v>
      </c>
      <c r="BV1286" t="s">
        <v>86</v>
      </c>
      <c r="BY1286">
        <v>8550</v>
      </c>
      <c r="CA1286" t="s">
        <v>349</v>
      </c>
      <c r="CC1286" t="s">
        <v>343</v>
      </c>
      <c r="CD1286">
        <v>7349</v>
      </c>
      <c r="CE1286" t="s">
        <v>191</v>
      </c>
      <c r="CF1286" s="3">
        <v>45944</v>
      </c>
      <c r="CI1286">
        <v>1</v>
      </c>
      <c r="CJ1286">
        <v>1</v>
      </c>
      <c r="CK1286">
        <v>23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"080068447335"</f>
        <v>080068447335</v>
      </c>
      <c r="F1287" s="3">
        <v>45940</v>
      </c>
      <c r="G1287">
        <v>202607</v>
      </c>
      <c r="H1287" t="s">
        <v>79</v>
      </c>
      <c r="I1287" t="s">
        <v>80</v>
      </c>
      <c r="J1287" t="s">
        <v>91</v>
      </c>
      <c r="K1287" t="s">
        <v>78</v>
      </c>
      <c r="L1287" t="s">
        <v>453</v>
      </c>
      <c r="M1287" t="s">
        <v>454</v>
      </c>
      <c r="N1287" t="s">
        <v>2058</v>
      </c>
      <c r="O1287" t="s">
        <v>82</v>
      </c>
      <c r="P1287" t="str">
        <f>"4170063940                    "</f>
        <v xml:space="preserve">4170063940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39.11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</v>
      </c>
      <c r="BJ1287">
        <v>3.4</v>
      </c>
      <c r="BK1287">
        <v>3.5</v>
      </c>
      <c r="BL1287">
        <v>124.13</v>
      </c>
      <c r="BM1287">
        <v>18.62</v>
      </c>
      <c r="BN1287">
        <v>142.75</v>
      </c>
      <c r="BO1287">
        <v>142.75</v>
      </c>
      <c r="BQ1287" t="s">
        <v>2059</v>
      </c>
      <c r="BR1287" t="s">
        <v>97</v>
      </c>
      <c r="BS1287" s="3">
        <v>45944</v>
      </c>
      <c r="BT1287" s="4">
        <v>0.4375</v>
      </c>
      <c r="BU1287" t="s">
        <v>2060</v>
      </c>
      <c r="BV1287" t="s">
        <v>90</v>
      </c>
      <c r="BW1287" t="s">
        <v>136</v>
      </c>
      <c r="BX1287" t="s">
        <v>1222</v>
      </c>
      <c r="BY1287">
        <v>16965</v>
      </c>
      <c r="CC1287" t="s">
        <v>454</v>
      </c>
      <c r="CD1287">
        <v>3610</v>
      </c>
      <c r="CE1287" t="s">
        <v>191</v>
      </c>
      <c r="CF1287" s="3">
        <v>45945</v>
      </c>
      <c r="CI1287">
        <v>1</v>
      </c>
      <c r="CJ1287">
        <v>2</v>
      </c>
      <c r="CK1287">
        <v>21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"080068447396"</f>
        <v>080068447396</v>
      </c>
      <c r="F1288" s="3">
        <v>45940</v>
      </c>
      <c r="G1288">
        <v>202607</v>
      </c>
      <c r="H1288" t="s">
        <v>79</v>
      </c>
      <c r="I1288" t="s">
        <v>80</v>
      </c>
      <c r="J1288" t="s">
        <v>91</v>
      </c>
      <c r="K1288" t="s">
        <v>78</v>
      </c>
      <c r="L1288" t="s">
        <v>271</v>
      </c>
      <c r="M1288" t="s">
        <v>272</v>
      </c>
      <c r="N1288" t="s">
        <v>1714</v>
      </c>
      <c r="O1288" t="s">
        <v>82</v>
      </c>
      <c r="P1288" t="str">
        <f>"4170063934                    "</f>
        <v xml:space="preserve">4170063934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17.46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2</v>
      </c>
      <c r="BJ1288">
        <v>3.4</v>
      </c>
      <c r="BK1288">
        <v>4</v>
      </c>
      <c r="BL1288">
        <v>55.42</v>
      </c>
      <c r="BM1288">
        <v>8.31</v>
      </c>
      <c r="BN1288">
        <v>63.73</v>
      </c>
      <c r="BO1288">
        <v>63.73</v>
      </c>
      <c r="BQ1288" t="s">
        <v>1715</v>
      </c>
      <c r="BR1288" t="s">
        <v>97</v>
      </c>
      <c r="BS1288" s="3">
        <v>45943</v>
      </c>
      <c r="BT1288" s="4">
        <v>0.42916666666666664</v>
      </c>
      <c r="BU1288" t="s">
        <v>2061</v>
      </c>
      <c r="BV1288" t="s">
        <v>86</v>
      </c>
      <c r="BY1288">
        <v>16965</v>
      </c>
      <c r="CA1288" t="s">
        <v>2062</v>
      </c>
      <c r="CC1288" t="s">
        <v>272</v>
      </c>
      <c r="CD1288">
        <v>1406</v>
      </c>
      <c r="CE1288" t="s">
        <v>191</v>
      </c>
      <c r="CF1288" s="3">
        <v>45943</v>
      </c>
      <c r="CI1288">
        <v>1</v>
      </c>
      <c r="CJ1288">
        <v>1</v>
      </c>
      <c r="CK1288">
        <v>22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"080068447435"</f>
        <v>080068447435</v>
      </c>
      <c r="F1289" s="3">
        <v>45940</v>
      </c>
      <c r="G1289">
        <v>202607</v>
      </c>
      <c r="H1289" t="s">
        <v>79</v>
      </c>
      <c r="I1289" t="s">
        <v>80</v>
      </c>
      <c r="J1289" t="s">
        <v>91</v>
      </c>
      <c r="K1289" t="s">
        <v>78</v>
      </c>
      <c r="L1289" t="s">
        <v>2063</v>
      </c>
      <c r="M1289" t="s">
        <v>2064</v>
      </c>
      <c r="N1289" t="s">
        <v>2065</v>
      </c>
      <c r="O1289" t="s">
        <v>95</v>
      </c>
      <c r="P1289" t="str">
        <f>"4170063949                    "</f>
        <v xml:space="preserve">4170063949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47.74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5</v>
      </c>
      <c r="BJ1289">
        <v>8.9</v>
      </c>
      <c r="BK1289">
        <v>9</v>
      </c>
      <c r="BL1289">
        <v>157.4</v>
      </c>
      <c r="BM1289">
        <v>23.61</v>
      </c>
      <c r="BN1289">
        <v>181.01</v>
      </c>
      <c r="BO1289">
        <v>181.01</v>
      </c>
      <c r="BQ1289" t="s">
        <v>2066</v>
      </c>
      <c r="BR1289" t="s">
        <v>97</v>
      </c>
      <c r="BS1289" s="3">
        <v>45943</v>
      </c>
      <c r="BT1289" s="4">
        <v>0.5</v>
      </c>
      <c r="BU1289" t="s">
        <v>2067</v>
      </c>
      <c r="BV1289" t="s">
        <v>86</v>
      </c>
      <c r="BY1289">
        <v>44640</v>
      </c>
      <c r="CA1289" t="s">
        <v>2068</v>
      </c>
      <c r="CC1289" t="s">
        <v>2064</v>
      </c>
      <c r="CD1289">
        <v>1786</v>
      </c>
      <c r="CE1289" t="s">
        <v>191</v>
      </c>
      <c r="CF1289" s="3">
        <v>45944</v>
      </c>
      <c r="CI1289">
        <v>1</v>
      </c>
      <c r="CJ1289">
        <v>1</v>
      </c>
      <c r="CK1289">
        <v>44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"080068447480"</f>
        <v>080068447480</v>
      </c>
      <c r="F1290" s="3">
        <v>45940</v>
      </c>
      <c r="G1290">
        <v>202607</v>
      </c>
      <c r="H1290" t="s">
        <v>79</v>
      </c>
      <c r="I1290" t="s">
        <v>80</v>
      </c>
      <c r="J1290" t="s">
        <v>91</v>
      </c>
      <c r="K1290" t="s">
        <v>78</v>
      </c>
      <c r="L1290" t="s">
        <v>168</v>
      </c>
      <c r="M1290" t="s">
        <v>169</v>
      </c>
      <c r="N1290" t="s">
        <v>335</v>
      </c>
      <c r="O1290" t="s">
        <v>95</v>
      </c>
      <c r="P1290" t="str">
        <f>"4170063900                    "</f>
        <v xml:space="preserve">4170063900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43.23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3.5</v>
      </c>
      <c r="BK1290">
        <v>4</v>
      </c>
      <c r="BL1290">
        <v>143.08000000000001</v>
      </c>
      <c r="BM1290">
        <v>21.46</v>
      </c>
      <c r="BN1290">
        <v>164.54</v>
      </c>
      <c r="BO1290">
        <v>164.54</v>
      </c>
      <c r="BQ1290" t="s">
        <v>475</v>
      </c>
      <c r="BR1290" t="s">
        <v>97</v>
      </c>
      <c r="BS1290" s="3">
        <v>45943</v>
      </c>
      <c r="BT1290" s="4">
        <v>0.42222222222222222</v>
      </c>
      <c r="BU1290" t="s">
        <v>897</v>
      </c>
      <c r="BV1290" t="s">
        <v>86</v>
      </c>
      <c r="BY1290">
        <v>17556</v>
      </c>
      <c r="CC1290" t="s">
        <v>169</v>
      </c>
      <c r="CD1290" s="5" t="s">
        <v>190</v>
      </c>
      <c r="CE1290" t="s">
        <v>107</v>
      </c>
      <c r="CF1290" s="3">
        <v>45943</v>
      </c>
      <c r="CI1290">
        <v>1</v>
      </c>
      <c r="CJ1290">
        <v>1</v>
      </c>
      <c r="CK1290">
        <v>41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"080068447571"</f>
        <v>080068447571</v>
      </c>
      <c r="F1291" s="3">
        <v>45940</v>
      </c>
      <c r="G1291">
        <v>202607</v>
      </c>
      <c r="H1291" t="s">
        <v>79</v>
      </c>
      <c r="I1291" t="s">
        <v>80</v>
      </c>
      <c r="J1291" t="s">
        <v>91</v>
      </c>
      <c r="K1291" t="s">
        <v>78</v>
      </c>
      <c r="L1291" t="s">
        <v>206</v>
      </c>
      <c r="M1291" t="s">
        <v>207</v>
      </c>
      <c r="N1291" t="s">
        <v>2069</v>
      </c>
      <c r="O1291" t="s">
        <v>82</v>
      </c>
      <c r="P1291" t="str">
        <f>"4170063959                    "</f>
        <v xml:space="preserve">4170063959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22.36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0.9</v>
      </c>
      <c r="BK1291">
        <v>1</v>
      </c>
      <c r="BL1291">
        <v>70.959999999999994</v>
      </c>
      <c r="BM1291">
        <v>10.64</v>
      </c>
      <c r="BN1291">
        <v>81.599999999999994</v>
      </c>
      <c r="BO1291">
        <v>81.599999999999994</v>
      </c>
      <c r="BQ1291" t="s">
        <v>2070</v>
      </c>
      <c r="BR1291" t="s">
        <v>97</v>
      </c>
      <c r="BS1291" s="3">
        <v>45943</v>
      </c>
      <c r="BT1291" s="4">
        <v>0.3840277777777778</v>
      </c>
      <c r="BU1291" t="s">
        <v>2071</v>
      </c>
      <c r="BV1291" t="s">
        <v>86</v>
      </c>
      <c r="BY1291">
        <v>4275</v>
      </c>
      <c r="CA1291" t="s">
        <v>211</v>
      </c>
      <c r="CC1291" t="s">
        <v>207</v>
      </c>
      <c r="CD1291">
        <v>7441</v>
      </c>
      <c r="CE1291" t="s">
        <v>191</v>
      </c>
      <c r="CF1291" s="3">
        <v>45944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"080068447808"</f>
        <v>080068447808</v>
      </c>
      <c r="F1292" s="3">
        <v>45940</v>
      </c>
      <c r="G1292">
        <v>202607</v>
      </c>
      <c r="H1292" t="s">
        <v>79</v>
      </c>
      <c r="I1292" t="s">
        <v>80</v>
      </c>
      <c r="J1292" t="s">
        <v>91</v>
      </c>
      <c r="K1292" t="s">
        <v>78</v>
      </c>
      <c r="L1292" t="s">
        <v>763</v>
      </c>
      <c r="M1292" t="s">
        <v>764</v>
      </c>
      <c r="N1292" t="s">
        <v>765</v>
      </c>
      <c r="O1292" t="s">
        <v>82</v>
      </c>
      <c r="P1292" t="str">
        <f>"4170063957                    "</f>
        <v xml:space="preserve">4170063957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219.35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2</v>
      </c>
      <c r="BI1292">
        <v>11</v>
      </c>
      <c r="BJ1292">
        <v>3.5</v>
      </c>
      <c r="BK1292">
        <v>11</v>
      </c>
      <c r="BL1292">
        <v>696.19</v>
      </c>
      <c r="BM1292">
        <v>104.43</v>
      </c>
      <c r="BN1292">
        <v>800.62</v>
      </c>
      <c r="BO1292">
        <v>800.62</v>
      </c>
      <c r="BQ1292" t="s">
        <v>766</v>
      </c>
      <c r="BR1292" t="s">
        <v>97</v>
      </c>
      <c r="BS1292" s="3">
        <v>45943</v>
      </c>
      <c r="BT1292" s="4">
        <v>0.53333333333333333</v>
      </c>
      <c r="BU1292" t="s">
        <v>1003</v>
      </c>
      <c r="BV1292" t="s">
        <v>86</v>
      </c>
      <c r="BY1292">
        <v>17632</v>
      </c>
      <c r="CA1292" t="s">
        <v>768</v>
      </c>
      <c r="CC1292" t="s">
        <v>764</v>
      </c>
      <c r="CD1292">
        <v>2531</v>
      </c>
      <c r="CE1292" t="s">
        <v>191</v>
      </c>
      <c r="CF1292" s="3">
        <v>45944</v>
      </c>
      <c r="CI1292">
        <v>1</v>
      </c>
      <c r="CJ1292">
        <v>1</v>
      </c>
      <c r="CK1292">
        <v>23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"080068447856"</f>
        <v>080068447856</v>
      </c>
      <c r="F1293" s="3">
        <v>45940</v>
      </c>
      <c r="G1293">
        <v>202607</v>
      </c>
      <c r="H1293" t="s">
        <v>79</v>
      </c>
      <c r="I1293" t="s">
        <v>80</v>
      </c>
      <c r="J1293" t="s">
        <v>91</v>
      </c>
      <c r="K1293" t="s">
        <v>78</v>
      </c>
      <c r="L1293" t="s">
        <v>168</v>
      </c>
      <c r="M1293" t="s">
        <v>169</v>
      </c>
      <c r="N1293" t="s">
        <v>297</v>
      </c>
      <c r="O1293" t="s">
        <v>95</v>
      </c>
      <c r="P1293" t="str">
        <f>"4170063950                    "</f>
        <v xml:space="preserve">4170063950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107.48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3</v>
      </c>
      <c r="BI1293">
        <v>51</v>
      </c>
      <c r="BJ1293">
        <v>26.8</v>
      </c>
      <c r="BK1293">
        <v>51</v>
      </c>
      <c r="BL1293">
        <v>347.01</v>
      </c>
      <c r="BM1293">
        <v>52.05</v>
      </c>
      <c r="BN1293">
        <v>399.06</v>
      </c>
      <c r="BO1293">
        <v>399.06</v>
      </c>
      <c r="BQ1293" t="s">
        <v>298</v>
      </c>
      <c r="BR1293" t="s">
        <v>97</v>
      </c>
      <c r="BS1293" s="3">
        <v>45943</v>
      </c>
      <c r="BT1293" s="4">
        <v>0.40277777777777779</v>
      </c>
      <c r="BU1293" t="s">
        <v>684</v>
      </c>
      <c r="BV1293" t="s">
        <v>86</v>
      </c>
      <c r="BY1293">
        <v>44640</v>
      </c>
      <c r="CC1293" t="s">
        <v>169</v>
      </c>
      <c r="CD1293" s="5" t="s">
        <v>190</v>
      </c>
      <c r="CE1293" t="s">
        <v>2005</v>
      </c>
      <c r="CF1293" s="3">
        <v>45943</v>
      </c>
      <c r="CI1293">
        <v>1</v>
      </c>
      <c r="CJ1293">
        <v>1</v>
      </c>
      <c r="CK1293">
        <v>41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"080011643685"</f>
        <v>080011643685</v>
      </c>
      <c r="F1294" s="3">
        <v>45940</v>
      </c>
      <c r="G1294">
        <v>202607</v>
      </c>
      <c r="H1294" t="s">
        <v>114</v>
      </c>
      <c r="I1294" t="s">
        <v>115</v>
      </c>
      <c r="J1294" t="s">
        <v>2072</v>
      </c>
      <c r="K1294" t="s">
        <v>78</v>
      </c>
      <c r="L1294" t="s">
        <v>79</v>
      </c>
      <c r="M1294" t="s">
        <v>80</v>
      </c>
      <c r="N1294" t="s">
        <v>81</v>
      </c>
      <c r="O1294" t="s">
        <v>95</v>
      </c>
      <c r="P1294" t="str">
        <f>"Gift                          "</f>
        <v xml:space="preserve">Gift      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43.23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3</v>
      </c>
      <c r="BJ1294">
        <v>2.4</v>
      </c>
      <c r="BK1294">
        <v>3</v>
      </c>
      <c r="BL1294">
        <v>143.08000000000001</v>
      </c>
      <c r="BM1294">
        <v>21.46</v>
      </c>
      <c r="BN1294">
        <v>164.54</v>
      </c>
      <c r="BO1294">
        <v>164.54</v>
      </c>
      <c r="BQ1294" t="s">
        <v>83</v>
      </c>
      <c r="BR1294" t="s">
        <v>2073</v>
      </c>
      <c r="BS1294" s="3">
        <v>45943</v>
      </c>
      <c r="BT1294" s="4">
        <v>0.4375</v>
      </c>
      <c r="BU1294" t="s">
        <v>85</v>
      </c>
      <c r="BV1294" t="s">
        <v>86</v>
      </c>
      <c r="BY1294">
        <v>12000</v>
      </c>
      <c r="BZ1294" t="s">
        <v>99</v>
      </c>
      <c r="CA1294" t="s">
        <v>1368</v>
      </c>
      <c r="CC1294" t="s">
        <v>80</v>
      </c>
      <c r="CD1294">
        <v>1619</v>
      </c>
      <c r="CE1294" t="s">
        <v>89</v>
      </c>
      <c r="CF1294" s="3">
        <v>45944</v>
      </c>
      <c r="CI1294">
        <v>3</v>
      </c>
      <c r="CJ1294">
        <v>1</v>
      </c>
      <c r="CK1294">
        <v>41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"080011644142"</f>
        <v>080011644142</v>
      </c>
      <c r="F1295" s="3">
        <v>45940</v>
      </c>
      <c r="G1295">
        <v>202607</v>
      </c>
      <c r="H1295" t="s">
        <v>1508</v>
      </c>
      <c r="I1295" t="s">
        <v>1509</v>
      </c>
      <c r="J1295" t="s">
        <v>2074</v>
      </c>
      <c r="K1295" t="s">
        <v>78</v>
      </c>
      <c r="L1295" t="s">
        <v>79</v>
      </c>
      <c r="M1295" t="s">
        <v>80</v>
      </c>
      <c r="N1295" t="s">
        <v>81</v>
      </c>
      <c r="O1295" t="s">
        <v>95</v>
      </c>
      <c r="P1295" t="str">
        <f>"ZA1001417813                  "</f>
        <v xml:space="preserve">ZA1001417813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60.97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3</v>
      </c>
      <c r="BJ1295">
        <v>4.8</v>
      </c>
      <c r="BK1295">
        <v>5</v>
      </c>
      <c r="BL1295">
        <v>199.39</v>
      </c>
      <c r="BM1295">
        <v>29.91</v>
      </c>
      <c r="BN1295">
        <v>229.3</v>
      </c>
      <c r="BO1295">
        <v>229.3</v>
      </c>
      <c r="BQ1295" t="s">
        <v>83</v>
      </c>
      <c r="BR1295" t="s">
        <v>2075</v>
      </c>
      <c r="BS1295" s="3">
        <v>45943</v>
      </c>
      <c r="BT1295" s="4">
        <v>0.43402777777777779</v>
      </c>
      <c r="BU1295" t="s">
        <v>2076</v>
      </c>
      <c r="BV1295" t="s">
        <v>86</v>
      </c>
      <c r="BY1295">
        <v>24000</v>
      </c>
      <c r="BZ1295" t="s">
        <v>99</v>
      </c>
      <c r="CA1295" t="s">
        <v>631</v>
      </c>
      <c r="CC1295" t="s">
        <v>80</v>
      </c>
      <c r="CD1295">
        <v>1619</v>
      </c>
      <c r="CE1295" t="s">
        <v>89</v>
      </c>
      <c r="CF1295" s="3">
        <v>45943</v>
      </c>
      <c r="CI1295">
        <v>1</v>
      </c>
      <c r="CJ1295">
        <v>1</v>
      </c>
      <c r="CK1295">
        <v>43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"080011645650"</f>
        <v>080011645650</v>
      </c>
      <c r="F1296" s="3">
        <v>45940</v>
      </c>
      <c r="G1296">
        <v>202607</v>
      </c>
      <c r="H1296" t="s">
        <v>271</v>
      </c>
      <c r="I1296" t="s">
        <v>272</v>
      </c>
      <c r="J1296" t="s">
        <v>1532</v>
      </c>
      <c r="K1296" t="s">
        <v>78</v>
      </c>
      <c r="L1296" t="s">
        <v>79</v>
      </c>
      <c r="M1296" t="s">
        <v>80</v>
      </c>
      <c r="N1296" t="s">
        <v>81</v>
      </c>
      <c r="O1296" t="s">
        <v>82</v>
      </c>
      <c r="P1296" t="str">
        <f>"ZA1001415005                  "</f>
        <v xml:space="preserve">ZA1001415005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17.46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3</v>
      </c>
      <c r="BJ1296">
        <v>2.4</v>
      </c>
      <c r="BK1296">
        <v>3</v>
      </c>
      <c r="BL1296">
        <v>55.42</v>
      </c>
      <c r="BM1296">
        <v>8.31</v>
      </c>
      <c r="BN1296">
        <v>63.73</v>
      </c>
      <c r="BO1296">
        <v>63.73</v>
      </c>
      <c r="BQ1296" t="s">
        <v>83</v>
      </c>
      <c r="BR1296" t="s">
        <v>2077</v>
      </c>
      <c r="BS1296" s="3">
        <v>45943</v>
      </c>
      <c r="BT1296" s="4">
        <v>0.43402777777777779</v>
      </c>
      <c r="BU1296" t="s">
        <v>2076</v>
      </c>
      <c r="BV1296" t="s">
        <v>86</v>
      </c>
      <c r="BY1296">
        <v>12000</v>
      </c>
      <c r="BZ1296" t="s">
        <v>87</v>
      </c>
      <c r="CA1296" t="s">
        <v>631</v>
      </c>
      <c r="CC1296" t="s">
        <v>80</v>
      </c>
      <c r="CD1296">
        <v>1619</v>
      </c>
      <c r="CE1296" t="s">
        <v>89</v>
      </c>
      <c r="CF1296" s="3">
        <v>45943</v>
      </c>
      <c r="CI1296">
        <v>1</v>
      </c>
      <c r="CJ1296">
        <v>1</v>
      </c>
      <c r="CK1296">
        <v>22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"080068448283"</f>
        <v>080068448283</v>
      </c>
      <c r="F1297" s="3">
        <v>45940</v>
      </c>
      <c r="G1297">
        <v>202607</v>
      </c>
      <c r="H1297" t="s">
        <v>79</v>
      </c>
      <c r="I1297" t="s">
        <v>80</v>
      </c>
      <c r="J1297" t="s">
        <v>91</v>
      </c>
      <c r="K1297" t="s">
        <v>78</v>
      </c>
      <c r="L1297" t="s">
        <v>121</v>
      </c>
      <c r="M1297" t="s">
        <v>122</v>
      </c>
      <c r="N1297" t="s">
        <v>1993</v>
      </c>
      <c r="O1297" t="s">
        <v>82</v>
      </c>
      <c r="P1297" t="str">
        <f>"4170063955                    "</f>
        <v xml:space="preserve">4170063955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22.36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70.959999999999994</v>
      </c>
      <c r="BM1297">
        <v>10.64</v>
      </c>
      <c r="BN1297">
        <v>81.599999999999994</v>
      </c>
      <c r="BO1297">
        <v>81.599999999999994</v>
      </c>
      <c r="BQ1297" t="s">
        <v>1994</v>
      </c>
      <c r="BR1297" t="s">
        <v>97</v>
      </c>
      <c r="BS1297" s="3">
        <v>45943</v>
      </c>
      <c r="BT1297" s="4">
        <v>0.54791666666666672</v>
      </c>
      <c r="BU1297" t="s">
        <v>1995</v>
      </c>
      <c r="BV1297" t="s">
        <v>90</v>
      </c>
      <c r="BW1297" t="s">
        <v>136</v>
      </c>
      <c r="BX1297" t="s">
        <v>787</v>
      </c>
      <c r="BY1297">
        <v>1200</v>
      </c>
      <c r="CA1297" t="s">
        <v>1996</v>
      </c>
      <c r="CC1297" t="s">
        <v>122</v>
      </c>
      <c r="CD1297">
        <v>4068</v>
      </c>
      <c r="CE1297" t="s">
        <v>147</v>
      </c>
      <c r="CF1297" s="3">
        <v>45943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"080068448310"</f>
        <v>080068448310</v>
      </c>
      <c r="F1298" s="3">
        <v>45940</v>
      </c>
      <c r="G1298">
        <v>202607</v>
      </c>
      <c r="H1298" t="s">
        <v>79</v>
      </c>
      <c r="I1298" t="s">
        <v>80</v>
      </c>
      <c r="J1298" t="s">
        <v>91</v>
      </c>
      <c r="K1298" t="s">
        <v>78</v>
      </c>
      <c r="L1298" t="s">
        <v>168</v>
      </c>
      <c r="M1298" t="s">
        <v>169</v>
      </c>
      <c r="N1298" t="s">
        <v>584</v>
      </c>
      <c r="O1298" t="s">
        <v>82</v>
      </c>
      <c r="P1298" t="str">
        <f>"4170063946                    "</f>
        <v xml:space="preserve">4170063946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22.36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70.959999999999994</v>
      </c>
      <c r="BM1298">
        <v>10.64</v>
      </c>
      <c r="BN1298">
        <v>81.599999999999994</v>
      </c>
      <c r="BO1298">
        <v>81.599999999999994</v>
      </c>
      <c r="BQ1298" t="s">
        <v>585</v>
      </c>
      <c r="BR1298" t="s">
        <v>97</v>
      </c>
      <c r="BS1298" s="3">
        <v>45943</v>
      </c>
      <c r="BT1298" s="4">
        <v>0.38124999999999998</v>
      </c>
      <c r="BU1298" t="s">
        <v>2078</v>
      </c>
      <c r="BV1298" t="s">
        <v>86</v>
      </c>
      <c r="BY1298">
        <v>1200</v>
      </c>
      <c r="CC1298" t="s">
        <v>169</v>
      </c>
      <c r="CD1298" s="5" t="s">
        <v>190</v>
      </c>
      <c r="CE1298" t="s">
        <v>147</v>
      </c>
      <c r="CF1298" s="3">
        <v>45943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"080068448335"</f>
        <v>080068448335</v>
      </c>
      <c r="F1299" s="3">
        <v>45940</v>
      </c>
      <c r="G1299">
        <v>202607</v>
      </c>
      <c r="H1299" t="s">
        <v>79</v>
      </c>
      <c r="I1299" t="s">
        <v>80</v>
      </c>
      <c r="J1299" t="s">
        <v>91</v>
      </c>
      <c r="K1299" t="s">
        <v>78</v>
      </c>
      <c r="L1299" t="s">
        <v>1448</v>
      </c>
      <c r="M1299" t="s">
        <v>1449</v>
      </c>
      <c r="N1299" t="s">
        <v>2079</v>
      </c>
      <c r="O1299" t="s">
        <v>82</v>
      </c>
      <c r="P1299" t="str">
        <f>"4170063952                    "</f>
        <v xml:space="preserve">4170063952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43.31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137.47</v>
      </c>
      <c r="BM1299">
        <v>20.62</v>
      </c>
      <c r="BN1299">
        <v>158.09</v>
      </c>
      <c r="BO1299">
        <v>158.09</v>
      </c>
      <c r="BQ1299" t="s">
        <v>2080</v>
      </c>
      <c r="BR1299" t="s">
        <v>97</v>
      </c>
      <c r="BS1299" s="3">
        <v>45944</v>
      </c>
      <c r="BT1299" s="4">
        <v>0.46666666666666667</v>
      </c>
      <c r="BU1299" t="s">
        <v>2081</v>
      </c>
      <c r="BV1299" t="s">
        <v>86</v>
      </c>
      <c r="BY1299">
        <v>1200</v>
      </c>
      <c r="CA1299" t="s">
        <v>1453</v>
      </c>
      <c r="CC1299" t="s">
        <v>1449</v>
      </c>
      <c r="CD1299" s="5" t="s">
        <v>1454</v>
      </c>
      <c r="CE1299" t="s">
        <v>147</v>
      </c>
      <c r="CF1299" s="3">
        <v>45944</v>
      </c>
      <c r="CI1299">
        <v>2</v>
      </c>
      <c r="CJ1299">
        <v>2</v>
      </c>
      <c r="CK1299">
        <v>23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"080068448374"</f>
        <v>080068448374</v>
      </c>
      <c r="F1300" s="3">
        <v>45940</v>
      </c>
      <c r="G1300">
        <v>202607</v>
      </c>
      <c r="H1300" t="s">
        <v>79</v>
      </c>
      <c r="I1300" t="s">
        <v>80</v>
      </c>
      <c r="J1300" t="s">
        <v>91</v>
      </c>
      <c r="K1300" t="s">
        <v>78</v>
      </c>
      <c r="L1300" t="s">
        <v>642</v>
      </c>
      <c r="M1300" t="s">
        <v>643</v>
      </c>
      <c r="N1300" t="s">
        <v>644</v>
      </c>
      <c r="O1300" t="s">
        <v>82</v>
      </c>
      <c r="P1300" t="str">
        <f>"4170063963                    "</f>
        <v xml:space="preserve">4170063963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43.31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137.47</v>
      </c>
      <c r="BM1300">
        <v>20.62</v>
      </c>
      <c r="BN1300">
        <v>158.09</v>
      </c>
      <c r="BO1300">
        <v>158.09</v>
      </c>
      <c r="BQ1300" t="s">
        <v>645</v>
      </c>
      <c r="BR1300" t="s">
        <v>97</v>
      </c>
      <c r="BS1300" s="3">
        <v>45944</v>
      </c>
      <c r="BT1300" s="4">
        <v>0.57013888888888886</v>
      </c>
      <c r="BU1300" t="s">
        <v>740</v>
      </c>
      <c r="BV1300" t="s">
        <v>86</v>
      </c>
      <c r="BY1300">
        <v>1200</v>
      </c>
      <c r="CC1300" t="s">
        <v>643</v>
      </c>
      <c r="CD1300">
        <v>5850</v>
      </c>
      <c r="CE1300" t="s">
        <v>147</v>
      </c>
      <c r="CF1300" s="3">
        <v>45946</v>
      </c>
      <c r="CI1300">
        <v>2</v>
      </c>
      <c r="CJ1300">
        <v>2</v>
      </c>
      <c r="CK1300">
        <v>23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"080068448395"</f>
        <v>080068448395</v>
      </c>
      <c r="F1301" s="3">
        <v>45940</v>
      </c>
      <c r="G1301">
        <v>202607</v>
      </c>
      <c r="H1301" t="s">
        <v>79</v>
      </c>
      <c r="I1301" t="s">
        <v>80</v>
      </c>
      <c r="J1301" t="s">
        <v>91</v>
      </c>
      <c r="K1301" t="s">
        <v>78</v>
      </c>
      <c r="L1301" t="s">
        <v>206</v>
      </c>
      <c r="M1301" t="s">
        <v>207</v>
      </c>
      <c r="N1301" t="s">
        <v>1062</v>
      </c>
      <c r="O1301" t="s">
        <v>82</v>
      </c>
      <c r="P1301" t="str">
        <f>"4170063973                    "</f>
        <v xml:space="preserve">4170063973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22.36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70.959999999999994</v>
      </c>
      <c r="BM1301">
        <v>10.64</v>
      </c>
      <c r="BN1301">
        <v>81.599999999999994</v>
      </c>
      <c r="BO1301">
        <v>81.599999999999994</v>
      </c>
      <c r="BQ1301" t="s">
        <v>1063</v>
      </c>
      <c r="BR1301" t="s">
        <v>97</v>
      </c>
      <c r="BS1301" s="3">
        <v>45943</v>
      </c>
      <c r="BT1301" s="4">
        <v>0.38472222222222224</v>
      </c>
      <c r="BU1301" t="s">
        <v>1362</v>
      </c>
      <c r="BV1301" t="s">
        <v>86</v>
      </c>
      <c r="BY1301">
        <v>1200</v>
      </c>
      <c r="CA1301" t="s">
        <v>211</v>
      </c>
      <c r="CC1301" t="s">
        <v>207</v>
      </c>
      <c r="CD1301">
        <v>8001</v>
      </c>
      <c r="CE1301" t="s">
        <v>147</v>
      </c>
      <c r="CF1301" s="3">
        <v>45944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"080068448430"</f>
        <v>080068448430</v>
      </c>
      <c r="F1302" s="3">
        <v>45940</v>
      </c>
      <c r="G1302">
        <v>202607</v>
      </c>
      <c r="H1302" t="s">
        <v>79</v>
      </c>
      <c r="I1302" t="s">
        <v>80</v>
      </c>
      <c r="J1302" t="s">
        <v>91</v>
      </c>
      <c r="K1302" t="s">
        <v>78</v>
      </c>
      <c r="L1302" t="s">
        <v>333</v>
      </c>
      <c r="M1302" t="s">
        <v>334</v>
      </c>
      <c r="N1302" t="s">
        <v>512</v>
      </c>
      <c r="O1302" t="s">
        <v>82</v>
      </c>
      <c r="P1302" t="str">
        <f>"4170063941                    "</f>
        <v xml:space="preserve">4170063941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22.36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70.959999999999994</v>
      </c>
      <c r="BM1302">
        <v>10.64</v>
      </c>
      <c r="BN1302">
        <v>81.599999999999994</v>
      </c>
      <c r="BO1302">
        <v>81.599999999999994</v>
      </c>
      <c r="BQ1302" t="s">
        <v>513</v>
      </c>
      <c r="BR1302" t="s">
        <v>97</v>
      </c>
      <c r="BS1302" s="3">
        <v>45944</v>
      </c>
      <c r="BT1302" s="4">
        <v>0.42708333333333331</v>
      </c>
      <c r="BU1302" t="s">
        <v>2082</v>
      </c>
      <c r="BV1302" t="s">
        <v>90</v>
      </c>
      <c r="BW1302" t="s">
        <v>136</v>
      </c>
      <c r="BX1302" t="s">
        <v>338</v>
      </c>
      <c r="BY1302">
        <v>1200</v>
      </c>
      <c r="CA1302" t="s">
        <v>142</v>
      </c>
      <c r="CC1302" t="s">
        <v>334</v>
      </c>
      <c r="CD1302">
        <v>6220</v>
      </c>
      <c r="CE1302" t="s">
        <v>147</v>
      </c>
      <c r="CF1302" s="3">
        <v>45944</v>
      </c>
      <c r="CI1302">
        <v>1</v>
      </c>
      <c r="CJ1302">
        <v>2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"080068448467"</f>
        <v>080068448467</v>
      </c>
      <c r="F1303" s="3">
        <v>45940</v>
      </c>
      <c r="G1303">
        <v>202607</v>
      </c>
      <c r="H1303" t="s">
        <v>79</v>
      </c>
      <c r="I1303" t="s">
        <v>80</v>
      </c>
      <c r="J1303" t="s">
        <v>91</v>
      </c>
      <c r="K1303" t="s">
        <v>78</v>
      </c>
      <c r="L1303" t="s">
        <v>121</v>
      </c>
      <c r="M1303" t="s">
        <v>122</v>
      </c>
      <c r="N1303" t="s">
        <v>159</v>
      </c>
      <c r="O1303" t="s">
        <v>82</v>
      </c>
      <c r="P1303" t="str">
        <f>"4170063975                    "</f>
        <v xml:space="preserve">4170063975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22.36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70.959999999999994</v>
      </c>
      <c r="BM1303">
        <v>10.64</v>
      </c>
      <c r="BN1303">
        <v>81.599999999999994</v>
      </c>
      <c r="BO1303">
        <v>81.599999999999994</v>
      </c>
      <c r="BQ1303" t="s">
        <v>160</v>
      </c>
      <c r="BR1303" t="s">
        <v>97</v>
      </c>
      <c r="BS1303" s="3">
        <v>45943</v>
      </c>
      <c r="BT1303" s="4">
        <v>0.50624999999999998</v>
      </c>
      <c r="BU1303" t="s">
        <v>1830</v>
      </c>
      <c r="BV1303" t="s">
        <v>90</v>
      </c>
      <c r="BW1303" t="s">
        <v>136</v>
      </c>
      <c r="BX1303" t="s">
        <v>787</v>
      </c>
      <c r="BY1303">
        <v>1200</v>
      </c>
      <c r="CA1303" t="s">
        <v>742</v>
      </c>
      <c r="CC1303" t="s">
        <v>122</v>
      </c>
      <c r="CD1303">
        <v>4000</v>
      </c>
      <c r="CE1303" t="s">
        <v>147</v>
      </c>
      <c r="CF1303" s="3">
        <v>45943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"080068448488"</f>
        <v>080068448488</v>
      </c>
      <c r="F1304" s="3">
        <v>45940</v>
      </c>
      <c r="G1304">
        <v>202607</v>
      </c>
      <c r="H1304" t="s">
        <v>79</v>
      </c>
      <c r="I1304" t="s">
        <v>80</v>
      </c>
      <c r="J1304" t="s">
        <v>91</v>
      </c>
      <c r="K1304" t="s">
        <v>78</v>
      </c>
      <c r="L1304" t="s">
        <v>206</v>
      </c>
      <c r="M1304" t="s">
        <v>207</v>
      </c>
      <c r="N1304" t="s">
        <v>412</v>
      </c>
      <c r="O1304" t="s">
        <v>82</v>
      </c>
      <c r="P1304" t="str">
        <f>"4170063967                    "</f>
        <v xml:space="preserve">4170063967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22.36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70.959999999999994</v>
      </c>
      <c r="BM1304">
        <v>10.64</v>
      </c>
      <c r="BN1304">
        <v>81.599999999999994</v>
      </c>
      <c r="BO1304">
        <v>81.599999999999994</v>
      </c>
      <c r="BQ1304" t="s">
        <v>413</v>
      </c>
      <c r="BR1304" t="s">
        <v>97</v>
      </c>
      <c r="BS1304" s="3">
        <v>45943</v>
      </c>
      <c r="BT1304" s="4">
        <v>0.35972222222222222</v>
      </c>
      <c r="BU1304" t="s">
        <v>2083</v>
      </c>
      <c r="BV1304" t="s">
        <v>86</v>
      </c>
      <c r="BY1304">
        <v>1200</v>
      </c>
      <c r="CA1304" t="s">
        <v>415</v>
      </c>
      <c r="CC1304" t="s">
        <v>207</v>
      </c>
      <c r="CD1304">
        <v>7493</v>
      </c>
      <c r="CE1304" t="s">
        <v>147</v>
      </c>
      <c r="CF1304" s="3">
        <v>45944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"080068448574"</f>
        <v>080068448574</v>
      </c>
      <c r="F1305" s="3">
        <v>45940</v>
      </c>
      <c r="G1305">
        <v>202607</v>
      </c>
      <c r="H1305" t="s">
        <v>79</v>
      </c>
      <c r="I1305" t="s">
        <v>80</v>
      </c>
      <c r="J1305" t="s">
        <v>91</v>
      </c>
      <c r="K1305" t="s">
        <v>78</v>
      </c>
      <c r="L1305" t="s">
        <v>322</v>
      </c>
      <c r="M1305" t="s">
        <v>322</v>
      </c>
      <c r="N1305" t="s">
        <v>481</v>
      </c>
      <c r="O1305" t="s">
        <v>82</v>
      </c>
      <c r="P1305" t="str">
        <f>"4170063932                    "</f>
        <v xml:space="preserve">4170063932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53.09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2.2999999999999998</v>
      </c>
      <c r="BK1305">
        <v>2.5</v>
      </c>
      <c r="BL1305">
        <v>168.51</v>
      </c>
      <c r="BM1305">
        <v>25.28</v>
      </c>
      <c r="BN1305">
        <v>193.79</v>
      </c>
      <c r="BO1305">
        <v>193.79</v>
      </c>
      <c r="BQ1305" t="s">
        <v>482</v>
      </c>
      <c r="BR1305" t="s">
        <v>97</v>
      </c>
      <c r="BS1305" s="3">
        <v>45943</v>
      </c>
      <c r="BT1305" s="4">
        <v>0.53888888888888886</v>
      </c>
      <c r="BU1305" t="s">
        <v>1402</v>
      </c>
      <c r="BV1305" t="s">
        <v>86</v>
      </c>
      <c r="BY1305">
        <v>11264</v>
      </c>
      <c r="CA1305" t="s">
        <v>326</v>
      </c>
      <c r="CC1305" t="s">
        <v>322</v>
      </c>
      <c r="CD1305">
        <v>7646</v>
      </c>
      <c r="CE1305" t="s">
        <v>107</v>
      </c>
      <c r="CF1305" s="3">
        <v>45944</v>
      </c>
      <c r="CI1305">
        <v>1</v>
      </c>
      <c r="CJ1305">
        <v>1</v>
      </c>
      <c r="CK1305">
        <v>23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"080068448600"</f>
        <v>080068448600</v>
      </c>
      <c r="F1306" s="3">
        <v>45940</v>
      </c>
      <c r="G1306">
        <v>202607</v>
      </c>
      <c r="H1306" t="s">
        <v>79</v>
      </c>
      <c r="I1306" t="s">
        <v>80</v>
      </c>
      <c r="J1306" t="s">
        <v>91</v>
      </c>
      <c r="K1306" t="s">
        <v>78</v>
      </c>
      <c r="L1306" t="s">
        <v>121</v>
      </c>
      <c r="M1306" t="s">
        <v>122</v>
      </c>
      <c r="N1306" t="s">
        <v>632</v>
      </c>
      <c r="O1306" t="s">
        <v>82</v>
      </c>
      <c r="P1306" t="str">
        <f>"4170063964                    "</f>
        <v xml:space="preserve">4170063964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22.36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70.959999999999994</v>
      </c>
      <c r="BM1306">
        <v>10.64</v>
      </c>
      <c r="BN1306">
        <v>81.599999999999994</v>
      </c>
      <c r="BO1306">
        <v>81.599999999999994</v>
      </c>
      <c r="BQ1306" t="s">
        <v>633</v>
      </c>
      <c r="BR1306" t="s">
        <v>97</v>
      </c>
      <c r="BS1306" s="3">
        <v>45943</v>
      </c>
      <c r="BT1306" s="4">
        <v>0.38680555555555557</v>
      </c>
      <c r="BU1306" t="s">
        <v>1507</v>
      </c>
      <c r="BV1306" t="s">
        <v>86</v>
      </c>
      <c r="BY1306">
        <v>1200</v>
      </c>
      <c r="CA1306" t="s">
        <v>635</v>
      </c>
      <c r="CC1306" t="s">
        <v>122</v>
      </c>
      <c r="CD1306">
        <v>4000</v>
      </c>
      <c r="CE1306" t="s">
        <v>147</v>
      </c>
      <c r="CF1306" s="3">
        <v>45943</v>
      </c>
      <c r="CI1306">
        <v>1</v>
      </c>
      <c r="CJ1306">
        <v>1</v>
      </c>
      <c r="CK1306">
        <v>21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"080068448613"</f>
        <v>080068448613</v>
      </c>
      <c r="F1307" s="3">
        <v>45940</v>
      </c>
      <c r="G1307">
        <v>202607</v>
      </c>
      <c r="H1307" t="s">
        <v>79</v>
      </c>
      <c r="I1307" t="s">
        <v>80</v>
      </c>
      <c r="J1307" t="s">
        <v>91</v>
      </c>
      <c r="K1307" t="s">
        <v>78</v>
      </c>
      <c r="L1307" t="s">
        <v>446</v>
      </c>
      <c r="M1307" t="s">
        <v>447</v>
      </c>
      <c r="N1307" t="s">
        <v>448</v>
      </c>
      <c r="O1307" t="s">
        <v>82</v>
      </c>
      <c r="P1307" t="str">
        <f>"4170063992                    "</f>
        <v xml:space="preserve">4170063992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190.01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9</v>
      </c>
      <c r="BJ1307">
        <v>9.1</v>
      </c>
      <c r="BK1307">
        <v>9.5</v>
      </c>
      <c r="BL1307">
        <v>603.07000000000005</v>
      </c>
      <c r="BM1307">
        <v>90.46</v>
      </c>
      <c r="BN1307">
        <v>693.53</v>
      </c>
      <c r="BO1307">
        <v>693.53</v>
      </c>
      <c r="BQ1307" t="s">
        <v>449</v>
      </c>
      <c r="BR1307" t="s">
        <v>97</v>
      </c>
      <c r="BS1307" s="3">
        <v>45943</v>
      </c>
      <c r="BT1307" s="4">
        <v>0.48194444444444445</v>
      </c>
      <c r="BU1307" t="s">
        <v>2084</v>
      </c>
      <c r="BV1307" t="s">
        <v>86</v>
      </c>
      <c r="BY1307">
        <v>45632</v>
      </c>
      <c r="CA1307" t="s">
        <v>2085</v>
      </c>
      <c r="CC1307" t="s">
        <v>447</v>
      </c>
      <c r="CD1307">
        <v>7130</v>
      </c>
      <c r="CE1307" t="s">
        <v>191</v>
      </c>
      <c r="CF1307" s="3">
        <v>45944</v>
      </c>
      <c r="CI1307">
        <v>1</v>
      </c>
      <c r="CJ1307">
        <v>1</v>
      </c>
      <c r="CK1307">
        <v>23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"080068448620"</f>
        <v>080068448620</v>
      </c>
      <c r="F1308" s="3">
        <v>45940</v>
      </c>
      <c r="G1308">
        <v>202607</v>
      </c>
      <c r="H1308" t="s">
        <v>79</v>
      </c>
      <c r="I1308" t="s">
        <v>80</v>
      </c>
      <c r="J1308" t="s">
        <v>91</v>
      </c>
      <c r="K1308" t="s">
        <v>78</v>
      </c>
      <c r="L1308" t="s">
        <v>148</v>
      </c>
      <c r="M1308" t="s">
        <v>149</v>
      </c>
      <c r="N1308" t="s">
        <v>465</v>
      </c>
      <c r="O1308" t="s">
        <v>82</v>
      </c>
      <c r="P1308" t="str">
        <f>"4170063971                    "</f>
        <v xml:space="preserve">4170063971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17.46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55.42</v>
      </c>
      <c r="BM1308">
        <v>8.31</v>
      </c>
      <c r="BN1308">
        <v>63.73</v>
      </c>
      <c r="BO1308">
        <v>63.73</v>
      </c>
      <c r="BQ1308" t="s">
        <v>466</v>
      </c>
      <c r="BR1308" t="s">
        <v>97</v>
      </c>
      <c r="BS1308" s="3">
        <v>45943</v>
      </c>
      <c r="BT1308" s="4">
        <v>0.35555555555555557</v>
      </c>
      <c r="BU1308" t="s">
        <v>518</v>
      </c>
      <c r="BV1308" t="s">
        <v>86</v>
      </c>
      <c r="BY1308">
        <v>1200</v>
      </c>
      <c r="CA1308" t="s">
        <v>519</v>
      </c>
      <c r="CC1308" t="s">
        <v>149</v>
      </c>
      <c r="CD1308">
        <v>2094</v>
      </c>
      <c r="CE1308" t="s">
        <v>147</v>
      </c>
      <c r="CF1308" s="3">
        <v>45943</v>
      </c>
      <c r="CI1308">
        <v>1</v>
      </c>
      <c r="CJ1308">
        <v>1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"080068448648"</f>
        <v>080068448648</v>
      </c>
      <c r="F1309" s="3">
        <v>45940</v>
      </c>
      <c r="G1309">
        <v>202607</v>
      </c>
      <c r="H1309" t="s">
        <v>79</v>
      </c>
      <c r="I1309" t="s">
        <v>80</v>
      </c>
      <c r="J1309" t="s">
        <v>91</v>
      </c>
      <c r="K1309" t="s">
        <v>78</v>
      </c>
      <c r="L1309" t="s">
        <v>233</v>
      </c>
      <c r="M1309" t="s">
        <v>234</v>
      </c>
      <c r="N1309" t="s">
        <v>2086</v>
      </c>
      <c r="O1309" t="s">
        <v>82</v>
      </c>
      <c r="P1309" t="str">
        <f>"4170063977                    "</f>
        <v xml:space="preserve">4170063977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22.36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70.959999999999994</v>
      </c>
      <c r="BM1309">
        <v>10.64</v>
      </c>
      <c r="BN1309">
        <v>81.599999999999994</v>
      </c>
      <c r="BO1309">
        <v>81.599999999999994</v>
      </c>
      <c r="BQ1309" t="s">
        <v>2087</v>
      </c>
      <c r="BR1309" t="s">
        <v>97</v>
      </c>
      <c r="BS1309" s="3">
        <v>45943</v>
      </c>
      <c r="BT1309" s="4">
        <v>0.42083333333333334</v>
      </c>
      <c r="BU1309" t="s">
        <v>2088</v>
      </c>
      <c r="BV1309" t="s">
        <v>86</v>
      </c>
      <c r="BY1309">
        <v>1200</v>
      </c>
      <c r="CA1309" s="5" t="s">
        <v>2089</v>
      </c>
      <c r="CC1309" t="s">
        <v>234</v>
      </c>
      <c r="CD1309" s="5" t="s">
        <v>238</v>
      </c>
      <c r="CE1309" t="s">
        <v>147</v>
      </c>
      <c r="CF1309" s="3">
        <v>45943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"080068448716"</f>
        <v>080068448716</v>
      </c>
      <c r="F1310" s="3">
        <v>45940</v>
      </c>
      <c r="G1310">
        <v>202607</v>
      </c>
      <c r="H1310" t="s">
        <v>79</v>
      </c>
      <c r="I1310" t="s">
        <v>80</v>
      </c>
      <c r="J1310" t="s">
        <v>91</v>
      </c>
      <c r="K1310" t="s">
        <v>78</v>
      </c>
      <c r="L1310" t="s">
        <v>333</v>
      </c>
      <c r="M1310" t="s">
        <v>334</v>
      </c>
      <c r="N1310" t="s">
        <v>794</v>
      </c>
      <c r="O1310" t="s">
        <v>82</v>
      </c>
      <c r="P1310" t="str">
        <f>"4170063813                    "</f>
        <v xml:space="preserve">4170063813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184.3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2</v>
      </c>
      <c r="BI1310">
        <v>15</v>
      </c>
      <c r="BJ1310">
        <v>16.3</v>
      </c>
      <c r="BK1310">
        <v>16.5</v>
      </c>
      <c r="BL1310">
        <v>584.96</v>
      </c>
      <c r="BM1310">
        <v>87.74</v>
      </c>
      <c r="BN1310">
        <v>672.7</v>
      </c>
      <c r="BO1310">
        <v>672.7</v>
      </c>
      <c r="BQ1310" t="s">
        <v>795</v>
      </c>
      <c r="BR1310" t="s">
        <v>97</v>
      </c>
      <c r="BS1310" s="3">
        <v>45943</v>
      </c>
      <c r="BT1310" s="4">
        <v>0.42986111111111114</v>
      </c>
      <c r="BU1310" t="s">
        <v>796</v>
      </c>
      <c r="BV1310" t="s">
        <v>86</v>
      </c>
      <c r="BY1310">
        <v>81647</v>
      </c>
      <c r="CA1310" t="s">
        <v>142</v>
      </c>
      <c r="CC1310" t="s">
        <v>334</v>
      </c>
      <c r="CD1310">
        <v>6220</v>
      </c>
      <c r="CE1310" t="s">
        <v>191</v>
      </c>
      <c r="CF1310" s="3">
        <v>45943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"080068448741"</f>
        <v>080068448741</v>
      </c>
      <c r="F1311" s="3">
        <v>45940</v>
      </c>
      <c r="G1311">
        <v>202607</v>
      </c>
      <c r="H1311" t="s">
        <v>79</v>
      </c>
      <c r="I1311" t="s">
        <v>80</v>
      </c>
      <c r="J1311" t="s">
        <v>91</v>
      </c>
      <c r="K1311" t="s">
        <v>78</v>
      </c>
      <c r="L1311" t="s">
        <v>168</v>
      </c>
      <c r="M1311" t="s">
        <v>169</v>
      </c>
      <c r="N1311" t="s">
        <v>873</v>
      </c>
      <c r="O1311" t="s">
        <v>95</v>
      </c>
      <c r="P1311" t="str">
        <f>"4170063968                    "</f>
        <v xml:space="preserve">4170063968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43.23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5</v>
      </c>
      <c r="BJ1311">
        <v>8.6</v>
      </c>
      <c r="BK1311">
        <v>9</v>
      </c>
      <c r="BL1311">
        <v>143.08000000000001</v>
      </c>
      <c r="BM1311">
        <v>21.46</v>
      </c>
      <c r="BN1311">
        <v>164.54</v>
      </c>
      <c r="BO1311">
        <v>164.54</v>
      </c>
      <c r="BQ1311" t="s">
        <v>874</v>
      </c>
      <c r="BR1311" t="s">
        <v>97</v>
      </c>
      <c r="BS1311" s="3">
        <v>45943</v>
      </c>
      <c r="BT1311" s="4">
        <v>0.65208333333333335</v>
      </c>
      <c r="BU1311" t="s">
        <v>1723</v>
      </c>
      <c r="BV1311" t="s">
        <v>86</v>
      </c>
      <c r="BY1311">
        <v>42772</v>
      </c>
      <c r="CC1311" t="s">
        <v>169</v>
      </c>
      <c r="CD1311" s="5" t="s">
        <v>877</v>
      </c>
      <c r="CE1311" t="s">
        <v>191</v>
      </c>
      <c r="CF1311" s="3">
        <v>45943</v>
      </c>
      <c r="CI1311">
        <v>1</v>
      </c>
      <c r="CJ1311">
        <v>1</v>
      </c>
      <c r="CK1311">
        <v>41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"080068448756"</f>
        <v>080068448756</v>
      </c>
      <c r="F1312" s="3">
        <v>45940</v>
      </c>
      <c r="G1312">
        <v>202607</v>
      </c>
      <c r="H1312" t="s">
        <v>79</v>
      </c>
      <c r="I1312" t="s">
        <v>80</v>
      </c>
      <c r="J1312" t="s">
        <v>91</v>
      </c>
      <c r="K1312" t="s">
        <v>78</v>
      </c>
      <c r="L1312" t="s">
        <v>121</v>
      </c>
      <c r="M1312" t="s">
        <v>122</v>
      </c>
      <c r="N1312" t="s">
        <v>1908</v>
      </c>
      <c r="O1312" t="s">
        <v>82</v>
      </c>
      <c r="P1312" t="str">
        <f>"4170063982                    "</f>
        <v xml:space="preserve">4170063982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55.86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5</v>
      </c>
      <c r="BJ1312">
        <v>3.9</v>
      </c>
      <c r="BK1312">
        <v>5</v>
      </c>
      <c r="BL1312">
        <v>177.3</v>
      </c>
      <c r="BM1312">
        <v>26.6</v>
      </c>
      <c r="BN1312">
        <v>203.9</v>
      </c>
      <c r="BO1312">
        <v>203.9</v>
      </c>
      <c r="BQ1312" t="s">
        <v>1909</v>
      </c>
      <c r="BR1312" t="s">
        <v>97</v>
      </c>
      <c r="BS1312" s="3">
        <v>45944</v>
      </c>
      <c r="BT1312" s="4">
        <v>0.35069444444444442</v>
      </c>
      <c r="BU1312" t="s">
        <v>1103</v>
      </c>
      <c r="BV1312" t="s">
        <v>90</v>
      </c>
      <c r="BW1312" t="s">
        <v>2090</v>
      </c>
      <c r="BX1312" t="s">
        <v>677</v>
      </c>
      <c r="BY1312">
        <v>19456</v>
      </c>
      <c r="CA1312" t="s">
        <v>1104</v>
      </c>
      <c r="CC1312" t="s">
        <v>122</v>
      </c>
      <c r="CD1312">
        <v>3629</v>
      </c>
      <c r="CE1312" t="s">
        <v>107</v>
      </c>
      <c r="CF1312" s="3">
        <v>45945</v>
      </c>
      <c r="CI1312">
        <v>1</v>
      </c>
      <c r="CJ1312">
        <v>2</v>
      </c>
      <c r="CK1312">
        <v>21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"080068448759"</f>
        <v>080068448759</v>
      </c>
      <c r="F1313" s="3">
        <v>45940</v>
      </c>
      <c r="G1313">
        <v>202607</v>
      </c>
      <c r="H1313" t="s">
        <v>79</v>
      </c>
      <c r="I1313" t="s">
        <v>80</v>
      </c>
      <c r="J1313" t="s">
        <v>91</v>
      </c>
      <c r="K1313" t="s">
        <v>78</v>
      </c>
      <c r="L1313" t="s">
        <v>148</v>
      </c>
      <c r="M1313" t="s">
        <v>149</v>
      </c>
      <c r="N1313" t="s">
        <v>952</v>
      </c>
      <c r="O1313" t="s">
        <v>82</v>
      </c>
      <c r="P1313" t="str">
        <f>"4170063939                    "</f>
        <v xml:space="preserve">4170063939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17.46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</v>
      </c>
      <c r="BJ1313">
        <v>0.8</v>
      </c>
      <c r="BK1313">
        <v>3</v>
      </c>
      <c r="BL1313">
        <v>55.42</v>
      </c>
      <c r="BM1313">
        <v>8.31</v>
      </c>
      <c r="BN1313">
        <v>63.73</v>
      </c>
      <c r="BO1313">
        <v>63.73</v>
      </c>
      <c r="BQ1313" t="s">
        <v>953</v>
      </c>
      <c r="BR1313" t="s">
        <v>97</v>
      </c>
      <c r="BS1313" s="3">
        <v>45943</v>
      </c>
      <c r="BT1313" s="4">
        <v>0.34722222222222221</v>
      </c>
      <c r="BU1313" t="s">
        <v>1645</v>
      </c>
      <c r="BV1313" t="s">
        <v>86</v>
      </c>
      <c r="BY1313">
        <v>3825</v>
      </c>
      <c r="CA1313" t="s">
        <v>1217</v>
      </c>
      <c r="CC1313" t="s">
        <v>149</v>
      </c>
      <c r="CD1313">
        <v>2091</v>
      </c>
      <c r="CE1313" t="s">
        <v>191</v>
      </c>
      <c r="CF1313" s="3">
        <v>45944</v>
      </c>
      <c r="CI1313">
        <v>1</v>
      </c>
      <c r="CJ1313">
        <v>1</v>
      </c>
      <c r="CK1313">
        <v>22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"080068448802"</f>
        <v>080068448802</v>
      </c>
      <c r="F1314" s="3">
        <v>45940</v>
      </c>
      <c r="G1314">
        <v>202607</v>
      </c>
      <c r="H1314" t="s">
        <v>79</v>
      </c>
      <c r="I1314" t="s">
        <v>80</v>
      </c>
      <c r="J1314" t="s">
        <v>91</v>
      </c>
      <c r="K1314" t="s">
        <v>78</v>
      </c>
      <c r="L1314" t="s">
        <v>108</v>
      </c>
      <c r="M1314" t="s">
        <v>109</v>
      </c>
      <c r="N1314" t="s">
        <v>938</v>
      </c>
      <c r="O1314" t="s">
        <v>82</v>
      </c>
      <c r="P1314" t="str">
        <f>"4170063984                    "</f>
        <v xml:space="preserve">4170063984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22.36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70.959999999999994</v>
      </c>
      <c r="BM1314">
        <v>10.64</v>
      </c>
      <c r="BN1314">
        <v>81.599999999999994</v>
      </c>
      <c r="BO1314">
        <v>81.599999999999994</v>
      </c>
      <c r="BQ1314" t="s">
        <v>939</v>
      </c>
      <c r="BR1314" t="s">
        <v>97</v>
      </c>
      <c r="BS1314" s="3">
        <v>45944</v>
      </c>
      <c r="BT1314" s="4">
        <v>0.39930555555555558</v>
      </c>
      <c r="BU1314" t="s">
        <v>1936</v>
      </c>
      <c r="BV1314" t="s">
        <v>90</v>
      </c>
      <c r="BW1314" t="s">
        <v>136</v>
      </c>
      <c r="BX1314" t="s">
        <v>338</v>
      </c>
      <c r="BY1314">
        <v>1200</v>
      </c>
      <c r="CA1314" t="s">
        <v>1145</v>
      </c>
      <c r="CC1314" t="s">
        <v>109</v>
      </c>
      <c r="CD1314">
        <v>6056</v>
      </c>
      <c r="CE1314" t="s">
        <v>147</v>
      </c>
      <c r="CF1314" s="3">
        <v>45944</v>
      </c>
      <c r="CI1314">
        <v>1</v>
      </c>
      <c r="CJ1314">
        <v>2</v>
      </c>
      <c r="CK1314">
        <v>21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"080068448803"</f>
        <v>080068448803</v>
      </c>
      <c r="F1315" s="3">
        <v>45940</v>
      </c>
      <c r="G1315">
        <v>202607</v>
      </c>
      <c r="H1315" t="s">
        <v>79</v>
      </c>
      <c r="I1315" t="s">
        <v>80</v>
      </c>
      <c r="J1315" t="s">
        <v>91</v>
      </c>
      <c r="K1315" t="s">
        <v>78</v>
      </c>
      <c r="L1315" t="s">
        <v>108</v>
      </c>
      <c r="M1315" t="s">
        <v>109</v>
      </c>
      <c r="N1315" t="s">
        <v>997</v>
      </c>
      <c r="O1315" t="s">
        <v>82</v>
      </c>
      <c r="P1315" t="str">
        <f>"4170063966                    "</f>
        <v xml:space="preserve">4170063966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33.520000000000003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3</v>
      </c>
      <c r="BJ1315">
        <v>2.4</v>
      </c>
      <c r="BK1315">
        <v>3</v>
      </c>
      <c r="BL1315">
        <v>106.4</v>
      </c>
      <c r="BM1315">
        <v>15.96</v>
      </c>
      <c r="BN1315">
        <v>122.36</v>
      </c>
      <c r="BO1315">
        <v>122.36</v>
      </c>
      <c r="BQ1315" t="s">
        <v>998</v>
      </c>
      <c r="BR1315" t="s">
        <v>97</v>
      </c>
      <c r="BS1315" s="3">
        <v>45944</v>
      </c>
      <c r="BT1315" s="4">
        <v>0.55347222222222225</v>
      </c>
      <c r="BU1315" t="s">
        <v>2091</v>
      </c>
      <c r="BV1315" t="s">
        <v>90</v>
      </c>
      <c r="BW1315" t="s">
        <v>136</v>
      </c>
      <c r="BX1315" t="s">
        <v>338</v>
      </c>
      <c r="BY1315">
        <v>12236</v>
      </c>
      <c r="CA1315" t="s">
        <v>2092</v>
      </c>
      <c r="CC1315" t="s">
        <v>109</v>
      </c>
      <c r="CD1315">
        <v>6001</v>
      </c>
      <c r="CE1315" t="s">
        <v>107</v>
      </c>
      <c r="CF1315" s="3">
        <v>45944</v>
      </c>
      <c r="CI1315">
        <v>1</v>
      </c>
      <c r="CJ1315">
        <v>2</v>
      </c>
      <c r="CK1315">
        <v>21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"080068448821"</f>
        <v>080068448821</v>
      </c>
      <c r="F1316" s="3">
        <v>45940</v>
      </c>
      <c r="G1316">
        <v>202607</v>
      </c>
      <c r="H1316" t="s">
        <v>79</v>
      </c>
      <c r="I1316" t="s">
        <v>80</v>
      </c>
      <c r="J1316" t="s">
        <v>91</v>
      </c>
      <c r="K1316" t="s">
        <v>78</v>
      </c>
      <c r="L1316" t="s">
        <v>148</v>
      </c>
      <c r="M1316" t="s">
        <v>149</v>
      </c>
      <c r="N1316" t="s">
        <v>465</v>
      </c>
      <c r="O1316" t="s">
        <v>226</v>
      </c>
      <c r="P1316" t="str">
        <f>"4170063988                    "</f>
        <v xml:space="preserve">4170063988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25.3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12</v>
      </c>
      <c r="BJ1316">
        <v>6.5</v>
      </c>
      <c r="BK1316">
        <v>12</v>
      </c>
      <c r="BL1316">
        <v>80.31</v>
      </c>
      <c r="BM1316">
        <v>12.05</v>
      </c>
      <c r="BN1316">
        <v>92.36</v>
      </c>
      <c r="BO1316">
        <v>92.36</v>
      </c>
      <c r="BQ1316" t="s">
        <v>466</v>
      </c>
      <c r="BR1316" t="s">
        <v>97</v>
      </c>
      <c r="BS1316" s="3">
        <v>45943</v>
      </c>
      <c r="BT1316" s="4">
        <v>0.35486111111111113</v>
      </c>
      <c r="BU1316" t="s">
        <v>518</v>
      </c>
      <c r="BV1316" t="s">
        <v>86</v>
      </c>
      <c r="BY1316">
        <v>32512</v>
      </c>
      <c r="CA1316" t="s">
        <v>519</v>
      </c>
      <c r="CC1316" t="s">
        <v>149</v>
      </c>
      <c r="CD1316">
        <v>2094</v>
      </c>
      <c r="CE1316" t="s">
        <v>107</v>
      </c>
      <c r="CF1316" s="3">
        <v>45943</v>
      </c>
      <c r="CI1316">
        <v>1</v>
      </c>
      <c r="CJ1316">
        <v>1</v>
      </c>
      <c r="CK1316">
        <v>32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"080068448825"</f>
        <v>080068448825</v>
      </c>
      <c r="F1317" s="3">
        <v>45940</v>
      </c>
      <c r="G1317">
        <v>202607</v>
      </c>
      <c r="H1317" t="s">
        <v>79</v>
      </c>
      <c r="I1317" t="s">
        <v>80</v>
      </c>
      <c r="J1317" t="s">
        <v>91</v>
      </c>
      <c r="K1317" t="s">
        <v>78</v>
      </c>
      <c r="L1317" t="s">
        <v>108</v>
      </c>
      <c r="M1317" t="s">
        <v>109</v>
      </c>
      <c r="N1317" t="s">
        <v>229</v>
      </c>
      <c r="O1317" t="s">
        <v>82</v>
      </c>
      <c r="P1317" t="str">
        <f>"4170063990                    "</f>
        <v xml:space="preserve">4170063990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50.28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4.0999999999999996</v>
      </c>
      <c r="BK1317">
        <v>4.5</v>
      </c>
      <c r="BL1317">
        <v>159.58000000000001</v>
      </c>
      <c r="BM1317">
        <v>23.94</v>
      </c>
      <c r="BN1317">
        <v>183.52</v>
      </c>
      <c r="BO1317">
        <v>183.52</v>
      </c>
      <c r="BQ1317" t="s">
        <v>230</v>
      </c>
      <c r="BR1317" t="s">
        <v>97</v>
      </c>
      <c r="BS1317" s="3">
        <v>45944</v>
      </c>
      <c r="BT1317" s="4">
        <v>0.38750000000000001</v>
      </c>
      <c r="BU1317" t="s">
        <v>1959</v>
      </c>
      <c r="BV1317" t="s">
        <v>90</v>
      </c>
      <c r="BW1317" t="s">
        <v>136</v>
      </c>
      <c r="BX1317" t="s">
        <v>338</v>
      </c>
      <c r="BY1317">
        <v>20358</v>
      </c>
      <c r="CA1317" t="s">
        <v>1145</v>
      </c>
      <c r="CC1317" t="s">
        <v>109</v>
      </c>
      <c r="CD1317">
        <v>6001</v>
      </c>
      <c r="CE1317" t="s">
        <v>191</v>
      </c>
      <c r="CF1317" s="3">
        <v>45944</v>
      </c>
      <c r="CI1317">
        <v>1</v>
      </c>
      <c r="CJ1317">
        <v>2</v>
      </c>
      <c r="CK1317">
        <v>21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"080068448847"</f>
        <v>080068448847</v>
      </c>
      <c r="F1318" s="3">
        <v>45940</v>
      </c>
      <c r="G1318">
        <v>202607</v>
      </c>
      <c r="H1318" t="s">
        <v>79</v>
      </c>
      <c r="I1318" t="s">
        <v>80</v>
      </c>
      <c r="J1318" t="s">
        <v>91</v>
      </c>
      <c r="K1318" t="s">
        <v>78</v>
      </c>
      <c r="L1318" t="s">
        <v>114</v>
      </c>
      <c r="M1318" t="s">
        <v>115</v>
      </c>
      <c r="N1318" t="s">
        <v>881</v>
      </c>
      <c r="O1318" t="s">
        <v>82</v>
      </c>
      <c r="P1318" t="str">
        <f>"4170063987                    "</f>
        <v xml:space="preserve">4170063987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55.86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3</v>
      </c>
      <c r="BJ1318">
        <v>4.5999999999999996</v>
      </c>
      <c r="BK1318">
        <v>5</v>
      </c>
      <c r="BL1318">
        <v>177.3</v>
      </c>
      <c r="BM1318">
        <v>26.6</v>
      </c>
      <c r="BN1318">
        <v>203.9</v>
      </c>
      <c r="BO1318">
        <v>203.9</v>
      </c>
      <c r="BQ1318" t="s">
        <v>882</v>
      </c>
      <c r="BR1318" t="s">
        <v>97</v>
      </c>
      <c r="BS1318" s="3">
        <v>45943</v>
      </c>
      <c r="BT1318" s="4">
        <v>0.42569444444444443</v>
      </c>
      <c r="BU1318" t="s">
        <v>2001</v>
      </c>
      <c r="BV1318" t="s">
        <v>86</v>
      </c>
      <c r="BY1318">
        <v>23120</v>
      </c>
      <c r="CA1318" t="s">
        <v>749</v>
      </c>
      <c r="CC1318" t="s">
        <v>115</v>
      </c>
      <c r="CD1318">
        <v>5201</v>
      </c>
      <c r="CE1318" t="s">
        <v>107</v>
      </c>
      <c r="CF1318" s="3">
        <v>45944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"080068448857"</f>
        <v>080068448857</v>
      </c>
      <c r="F1319" s="3">
        <v>45940</v>
      </c>
      <c r="G1319">
        <v>202607</v>
      </c>
      <c r="H1319" t="s">
        <v>79</v>
      </c>
      <c r="I1319" t="s">
        <v>80</v>
      </c>
      <c r="J1319" t="s">
        <v>91</v>
      </c>
      <c r="K1319" t="s">
        <v>78</v>
      </c>
      <c r="L1319" t="s">
        <v>92</v>
      </c>
      <c r="M1319" t="s">
        <v>93</v>
      </c>
      <c r="N1319" t="s">
        <v>662</v>
      </c>
      <c r="O1319" t="s">
        <v>82</v>
      </c>
      <c r="P1319" t="str">
        <f>"4170063906                    "</f>
        <v xml:space="preserve">4170063906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22.36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</v>
      </c>
      <c r="BJ1319">
        <v>0.9</v>
      </c>
      <c r="BK1319">
        <v>2</v>
      </c>
      <c r="BL1319">
        <v>70.959999999999994</v>
      </c>
      <c r="BM1319">
        <v>10.64</v>
      </c>
      <c r="BN1319">
        <v>81.599999999999994</v>
      </c>
      <c r="BO1319">
        <v>81.599999999999994</v>
      </c>
      <c r="BQ1319" t="s">
        <v>663</v>
      </c>
      <c r="BR1319" t="s">
        <v>97</v>
      </c>
      <c r="BS1319" s="3">
        <v>45943</v>
      </c>
      <c r="BT1319" s="4">
        <v>0.43055555555555558</v>
      </c>
      <c r="BU1319" t="s">
        <v>2093</v>
      </c>
      <c r="BV1319" t="s">
        <v>86</v>
      </c>
      <c r="BY1319">
        <v>4680</v>
      </c>
      <c r="CA1319" t="s">
        <v>146</v>
      </c>
      <c r="CC1319" t="s">
        <v>93</v>
      </c>
      <c r="CD1319">
        <v>3201</v>
      </c>
      <c r="CE1319" t="s">
        <v>191</v>
      </c>
      <c r="CF1319" s="3">
        <v>45944</v>
      </c>
      <c r="CI1319">
        <v>5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"080068448879"</f>
        <v>080068448879</v>
      </c>
      <c r="F1320" s="3">
        <v>45940</v>
      </c>
      <c r="G1320">
        <v>202607</v>
      </c>
      <c r="H1320" t="s">
        <v>79</v>
      </c>
      <c r="I1320" t="s">
        <v>80</v>
      </c>
      <c r="J1320" t="s">
        <v>91</v>
      </c>
      <c r="K1320" t="s">
        <v>78</v>
      </c>
      <c r="L1320" t="s">
        <v>79</v>
      </c>
      <c r="M1320" t="s">
        <v>80</v>
      </c>
      <c r="N1320" t="s">
        <v>577</v>
      </c>
      <c r="O1320" t="s">
        <v>82</v>
      </c>
      <c r="P1320" t="str">
        <f>"4170063972                    "</f>
        <v xml:space="preserve">4170063972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17.46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55.42</v>
      </c>
      <c r="BM1320">
        <v>8.31</v>
      </c>
      <c r="BN1320">
        <v>63.73</v>
      </c>
      <c r="BO1320">
        <v>63.73</v>
      </c>
      <c r="BQ1320" t="s">
        <v>578</v>
      </c>
      <c r="BR1320" t="s">
        <v>97</v>
      </c>
      <c r="BS1320" s="3">
        <v>45943</v>
      </c>
      <c r="BT1320" s="4">
        <v>0.41666666666666669</v>
      </c>
      <c r="BU1320" t="s">
        <v>1956</v>
      </c>
      <c r="BV1320" t="s">
        <v>86</v>
      </c>
      <c r="BY1320">
        <v>1200</v>
      </c>
      <c r="CA1320" t="s">
        <v>1957</v>
      </c>
      <c r="CC1320" t="s">
        <v>80</v>
      </c>
      <c r="CD1320">
        <v>1619</v>
      </c>
      <c r="CE1320" t="s">
        <v>147</v>
      </c>
      <c r="CF1320" s="3">
        <v>45943</v>
      </c>
      <c r="CI1320">
        <v>1</v>
      </c>
      <c r="CJ1320">
        <v>1</v>
      </c>
      <c r="CK1320">
        <v>22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"080068448883"</f>
        <v>080068448883</v>
      </c>
      <c r="F1321" s="3">
        <v>45940</v>
      </c>
      <c r="G1321">
        <v>202607</v>
      </c>
      <c r="H1321" t="s">
        <v>79</v>
      </c>
      <c r="I1321" t="s">
        <v>80</v>
      </c>
      <c r="J1321" t="s">
        <v>91</v>
      </c>
      <c r="K1321" t="s">
        <v>78</v>
      </c>
      <c r="L1321" t="s">
        <v>148</v>
      </c>
      <c r="M1321" t="s">
        <v>149</v>
      </c>
      <c r="N1321" t="s">
        <v>465</v>
      </c>
      <c r="O1321" t="s">
        <v>226</v>
      </c>
      <c r="P1321" t="str">
        <f>"4170063986                    "</f>
        <v xml:space="preserve">4170063986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17.47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3</v>
      </c>
      <c r="BJ1321">
        <v>2.6</v>
      </c>
      <c r="BK1321">
        <v>3</v>
      </c>
      <c r="BL1321">
        <v>55.44</v>
      </c>
      <c r="BM1321">
        <v>8.32</v>
      </c>
      <c r="BN1321">
        <v>63.76</v>
      </c>
      <c r="BO1321">
        <v>63.76</v>
      </c>
      <c r="BQ1321" t="s">
        <v>466</v>
      </c>
      <c r="BR1321" t="s">
        <v>97</v>
      </c>
      <c r="BS1321" s="3">
        <v>45943</v>
      </c>
      <c r="BT1321" s="4">
        <v>0.35486111111111113</v>
      </c>
      <c r="BU1321" t="s">
        <v>518</v>
      </c>
      <c r="BV1321" t="s">
        <v>86</v>
      </c>
      <c r="BY1321">
        <v>13224</v>
      </c>
      <c r="CA1321" t="s">
        <v>519</v>
      </c>
      <c r="CC1321" t="s">
        <v>149</v>
      </c>
      <c r="CD1321">
        <v>2094</v>
      </c>
      <c r="CE1321" t="s">
        <v>191</v>
      </c>
      <c r="CF1321" s="3">
        <v>45943</v>
      </c>
      <c r="CI1321">
        <v>1</v>
      </c>
      <c r="CJ1321">
        <v>1</v>
      </c>
      <c r="CK1321">
        <v>32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"080068448899"</f>
        <v>080068448899</v>
      </c>
      <c r="F1322" s="3">
        <v>45940</v>
      </c>
      <c r="G1322">
        <v>202607</v>
      </c>
      <c r="H1322" t="s">
        <v>79</v>
      </c>
      <c r="I1322" t="s">
        <v>80</v>
      </c>
      <c r="J1322" t="s">
        <v>91</v>
      </c>
      <c r="K1322" t="s">
        <v>78</v>
      </c>
      <c r="L1322" t="s">
        <v>322</v>
      </c>
      <c r="M1322" t="s">
        <v>322</v>
      </c>
      <c r="N1322" t="s">
        <v>197</v>
      </c>
      <c r="O1322" t="s">
        <v>82</v>
      </c>
      <c r="P1322" t="str">
        <f>"4170063933                    "</f>
        <v xml:space="preserve">4170063933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43.31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137.47</v>
      </c>
      <c r="BM1322">
        <v>20.62</v>
      </c>
      <c r="BN1322">
        <v>158.09</v>
      </c>
      <c r="BO1322">
        <v>158.09</v>
      </c>
      <c r="BQ1322" t="s">
        <v>198</v>
      </c>
      <c r="BR1322" t="s">
        <v>97</v>
      </c>
      <c r="BS1322" s="3">
        <v>45943</v>
      </c>
      <c r="BT1322" s="4">
        <v>0.53749999999999998</v>
      </c>
      <c r="BU1322" t="s">
        <v>1949</v>
      </c>
      <c r="BV1322" t="s">
        <v>86</v>
      </c>
      <c r="BY1322">
        <v>1200</v>
      </c>
      <c r="CA1322" t="s">
        <v>326</v>
      </c>
      <c r="CC1322" t="s">
        <v>322</v>
      </c>
      <c r="CD1322">
        <v>7646</v>
      </c>
      <c r="CE1322" t="s">
        <v>147</v>
      </c>
      <c r="CF1322" s="3">
        <v>45944</v>
      </c>
      <c r="CI1322">
        <v>1</v>
      </c>
      <c r="CJ1322">
        <v>1</v>
      </c>
      <c r="CK1322">
        <v>23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"080068448917"</f>
        <v>080068448917</v>
      </c>
      <c r="F1323" s="3">
        <v>45940</v>
      </c>
      <c r="G1323">
        <v>202607</v>
      </c>
      <c r="H1323" t="s">
        <v>79</v>
      </c>
      <c r="I1323" t="s">
        <v>80</v>
      </c>
      <c r="J1323" t="s">
        <v>91</v>
      </c>
      <c r="K1323" t="s">
        <v>78</v>
      </c>
      <c r="L1323" t="s">
        <v>271</v>
      </c>
      <c r="M1323" t="s">
        <v>272</v>
      </c>
      <c r="N1323" t="s">
        <v>273</v>
      </c>
      <c r="O1323" t="s">
        <v>226</v>
      </c>
      <c r="P1323" t="str">
        <f>"4170063989                    "</f>
        <v xml:space="preserve">4170063989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17.47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4</v>
      </c>
      <c r="BJ1323">
        <v>3.4</v>
      </c>
      <c r="BK1323">
        <v>4</v>
      </c>
      <c r="BL1323">
        <v>55.44</v>
      </c>
      <c r="BM1323">
        <v>8.32</v>
      </c>
      <c r="BN1323">
        <v>63.76</v>
      </c>
      <c r="BO1323">
        <v>63.76</v>
      </c>
      <c r="BQ1323" t="s">
        <v>274</v>
      </c>
      <c r="BR1323" t="s">
        <v>97</v>
      </c>
      <c r="BS1323" s="3">
        <v>45943</v>
      </c>
      <c r="BT1323" s="4">
        <v>0.34930555555555554</v>
      </c>
      <c r="BU1323" t="s">
        <v>295</v>
      </c>
      <c r="BV1323" t="s">
        <v>86</v>
      </c>
      <c r="BY1323">
        <v>17172</v>
      </c>
      <c r="CA1323" t="s">
        <v>661</v>
      </c>
      <c r="CC1323" t="s">
        <v>272</v>
      </c>
      <c r="CD1323">
        <v>1422</v>
      </c>
      <c r="CE1323" t="s">
        <v>107</v>
      </c>
      <c r="CF1323" s="3">
        <v>45944</v>
      </c>
      <c r="CI1323">
        <v>1</v>
      </c>
      <c r="CJ1323">
        <v>1</v>
      </c>
      <c r="CK1323">
        <v>32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"080068448936"</f>
        <v>080068448936</v>
      </c>
      <c r="F1324" s="3">
        <v>45940</v>
      </c>
      <c r="G1324">
        <v>202607</v>
      </c>
      <c r="H1324" t="s">
        <v>79</v>
      </c>
      <c r="I1324" t="s">
        <v>80</v>
      </c>
      <c r="J1324" t="s">
        <v>91</v>
      </c>
      <c r="K1324" t="s">
        <v>78</v>
      </c>
      <c r="L1324" t="s">
        <v>218</v>
      </c>
      <c r="M1324" t="s">
        <v>219</v>
      </c>
      <c r="N1324" t="s">
        <v>520</v>
      </c>
      <c r="O1324" t="s">
        <v>82</v>
      </c>
      <c r="P1324" t="str">
        <f>"4170063905                    "</f>
        <v xml:space="preserve">4170063905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17.46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55.42</v>
      </c>
      <c r="BM1324">
        <v>8.31</v>
      </c>
      <c r="BN1324">
        <v>63.73</v>
      </c>
      <c r="BO1324">
        <v>63.73</v>
      </c>
      <c r="BQ1324" t="s">
        <v>1805</v>
      </c>
      <c r="BR1324" t="s">
        <v>97</v>
      </c>
      <c r="BS1324" s="3">
        <v>45943</v>
      </c>
      <c r="BT1324" s="4">
        <v>0.40555555555555556</v>
      </c>
      <c r="BU1324" t="s">
        <v>1873</v>
      </c>
      <c r="BV1324" t="s">
        <v>86</v>
      </c>
      <c r="BY1324">
        <v>1200</v>
      </c>
      <c r="CA1324" t="s">
        <v>1979</v>
      </c>
      <c r="CC1324" t="s">
        <v>219</v>
      </c>
      <c r="CD1324">
        <v>1559</v>
      </c>
      <c r="CE1324" t="s">
        <v>147</v>
      </c>
      <c r="CF1324" s="3">
        <v>45943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"080068448969"</f>
        <v>080068448969</v>
      </c>
      <c r="F1325" s="3">
        <v>45940</v>
      </c>
      <c r="G1325">
        <v>202607</v>
      </c>
      <c r="H1325" t="s">
        <v>79</v>
      </c>
      <c r="I1325" t="s">
        <v>80</v>
      </c>
      <c r="J1325" t="s">
        <v>91</v>
      </c>
      <c r="K1325" t="s">
        <v>78</v>
      </c>
      <c r="L1325" t="s">
        <v>108</v>
      </c>
      <c r="M1325" t="s">
        <v>109</v>
      </c>
      <c r="N1325" t="s">
        <v>515</v>
      </c>
      <c r="O1325" t="s">
        <v>82</v>
      </c>
      <c r="P1325" t="str">
        <f>"4170063954                    "</f>
        <v xml:space="preserve">4170063954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22.36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70.959999999999994</v>
      </c>
      <c r="BM1325">
        <v>10.64</v>
      </c>
      <c r="BN1325">
        <v>81.599999999999994</v>
      </c>
      <c r="BO1325">
        <v>81.599999999999994</v>
      </c>
      <c r="BQ1325" t="s">
        <v>516</v>
      </c>
      <c r="BR1325" t="s">
        <v>97</v>
      </c>
      <c r="BS1325" s="3">
        <v>45944</v>
      </c>
      <c r="BT1325" s="4">
        <v>0.42916666666666664</v>
      </c>
      <c r="BU1325" t="s">
        <v>517</v>
      </c>
      <c r="BV1325" t="s">
        <v>90</v>
      </c>
      <c r="BW1325" t="s">
        <v>136</v>
      </c>
      <c r="BX1325" t="s">
        <v>2094</v>
      </c>
      <c r="BY1325">
        <v>1200</v>
      </c>
      <c r="CA1325" t="s">
        <v>113</v>
      </c>
      <c r="CC1325" t="s">
        <v>109</v>
      </c>
      <c r="CD1325">
        <v>6001</v>
      </c>
      <c r="CE1325" t="s">
        <v>147</v>
      </c>
      <c r="CF1325" s="3">
        <v>45944</v>
      </c>
      <c r="CI1325">
        <v>1</v>
      </c>
      <c r="CJ1325">
        <v>2</v>
      </c>
      <c r="CK1325">
        <v>21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"080068449006"</f>
        <v>080068449006</v>
      </c>
      <c r="F1326" s="3">
        <v>45940</v>
      </c>
      <c r="G1326">
        <v>202607</v>
      </c>
      <c r="H1326" t="s">
        <v>79</v>
      </c>
      <c r="I1326" t="s">
        <v>80</v>
      </c>
      <c r="J1326" t="s">
        <v>91</v>
      </c>
      <c r="K1326" t="s">
        <v>78</v>
      </c>
      <c r="L1326" t="s">
        <v>79</v>
      </c>
      <c r="M1326" t="s">
        <v>80</v>
      </c>
      <c r="N1326" t="s">
        <v>163</v>
      </c>
      <c r="O1326" t="s">
        <v>82</v>
      </c>
      <c r="P1326" t="str">
        <f>"4170063974                    "</f>
        <v xml:space="preserve">4170063974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17.46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55.42</v>
      </c>
      <c r="BM1326">
        <v>8.31</v>
      </c>
      <c r="BN1326">
        <v>63.73</v>
      </c>
      <c r="BO1326">
        <v>63.73</v>
      </c>
      <c r="BQ1326" t="s">
        <v>164</v>
      </c>
      <c r="BR1326" t="s">
        <v>97</v>
      </c>
      <c r="BS1326" s="3">
        <v>45943</v>
      </c>
      <c r="BT1326" s="4">
        <v>0.33333333333333331</v>
      </c>
      <c r="BU1326" t="s">
        <v>579</v>
      </c>
      <c r="BV1326" t="s">
        <v>86</v>
      </c>
      <c r="BY1326">
        <v>1200</v>
      </c>
      <c r="CA1326" t="s">
        <v>166</v>
      </c>
      <c r="CC1326" t="s">
        <v>80</v>
      </c>
      <c r="CD1326">
        <v>1600</v>
      </c>
      <c r="CE1326" t="s">
        <v>147</v>
      </c>
      <c r="CF1326" s="3">
        <v>45944</v>
      </c>
      <c r="CI1326">
        <v>1</v>
      </c>
      <c r="CJ1326">
        <v>1</v>
      </c>
      <c r="CK1326">
        <v>22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"080068239414"</f>
        <v>080068239414</v>
      </c>
      <c r="F1327" s="3">
        <v>45931</v>
      </c>
      <c r="G1327">
        <v>202607</v>
      </c>
      <c r="H1327" t="s">
        <v>79</v>
      </c>
      <c r="I1327" t="s">
        <v>80</v>
      </c>
      <c r="J1327" t="s">
        <v>91</v>
      </c>
      <c r="K1327" t="s">
        <v>78</v>
      </c>
      <c r="L1327" t="s">
        <v>350</v>
      </c>
      <c r="M1327" t="s">
        <v>351</v>
      </c>
      <c r="N1327" t="s">
        <v>1613</v>
      </c>
      <c r="O1327" t="s">
        <v>95</v>
      </c>
      <c r="P1327" t="str">
        <f>"4170062339                    "</f>
        <v xml:space="preserve">4170062339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60.97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6</v>
      </c>
      <c r="BJ1327">
        <v>5.8</v>
      </c>
      <c r="BK1327">
        <v>6</v>
      </c>
      <c r="BL1327">
        <v>199.39</v>
      </c>
      <c r="BM1327">
        <v>29.91</v>
      </c>
      <c r="BN1327">
        <v>229.3</v>
      </c>
      <c r="BO1327">
        <v>229.3</v>
      </c>
      <c r="BQ1327" t="s">
        <v>1614</v>
      </c>
      <c r="BR1327" t="s">
        <v>97</v>
      </c>
      <c r="BS1327" s="3">
        <v>45932</v>
      </c>
      <c r="BT1327" s="4">
        <v>0.42083333333333334</v>
      </c>
      <c r="BU1327" t="s">
        <v>2095</v>
      </c>
      <c r="BV1327" t="s">
        <v>86</v>
      </c>
      <c r="BY1327">
        <v>29160</v>
      </c>
      <c r="BZ1327" t="s">
        <v>2096</v>
      </c>
      <c r="CA1327" t="s">
        <v>2097</v>
      </c>
      <c r="CC1327" t="s">
        <v>351</v>
      </c>
      <c r="CD1327" s="5" t="s">
        <v>356</v>
      </c>
      <c r="CE1327" t="s">
        <v>697</v>
      </c>
      <c r="CF1327" s="3">
        <v>45933</v>
      </c>
      <c r="CI1327">
        <v>1</v>
      </c>
      <c r="CJ1327">
        <v>1</v>
      </c>
      <c r="CK1327">
        <v>43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"080068242173"</f>
        <v>080068242173</v>
      </c>
      <c r="F1328" s="3">
        <v>45931</v>
      </c>
      <c r="G1328">
        <v>202607</v>
      </c>
      <c r="H1328" t="s">
        <v>79</v>
      </c>
      <c r="I1328" t="s">
        <v>80</v>
      </c>
      <c r="J1328" t="s">
        <v>91</v>
      </c>
      <c r="K1328" t="s">
        <v>78</v>
      </c>
      <c r="L1328" t="s">
        <v>605</v>
      </c>
      <c r="M1328" t="s">
        <v>606</v>
      </c>
      <c r="N1328" t="s">
        <v>2098</v>
      </c>
      <c r="O1328" t="s">
        <v>95</v>
      </c>
      <c r="P1328" t="str">
        <f>"4170062451                    "</f>
        <v xml:space="preserve">4170062451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60.97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5</v>
      </c>
      <c r="BJ1328">
        <v>1.7</v>
      </c>
      <c r="BK1328">
        <v>5</v>
      </c>
      <c r="BL1328">
        <v>199.39</v>
      </c>
      <c r="BM1328">
        <v>29.91</v>
      </c>
      <c r="BN1328">
        <v>229.3</v>
      </c>
      <c r="BO1328">
        <v>229.3</v>
      </c>
      <c r="BQ1328" t="s">
        <v>2099</v>
      </c>
      <c r="BR1328" t="s">
        <v>97</v>
      </c>
      <c r="BS1328" s="3">
        <v>45932</v>
      </c>
      <c r="BT1328" s="4">
        <v>0.43333333333333335</v>
      </c>
      <c r="BU1328" t="s">
        <v>2100</v>
      </c>
      <c r="BV1328" t="s">
        <v>86</v>
      </c>
      <c r="BY1328">
        <v>8512</v>
      </c>
      <c r="BZ1328" t="s">
        <v>2096</v>
      </c>
      <c r="CA1328" t="s">
        <v>2101</v>
      </c>
      <c r="CC1328" t="s">
        <v>606</v>
      </c>
      <c r="CD1328">
        <v>1947</v>
      </c>
      <c r="CE1328" t="s">
        <v>101</v>
      </c>
      <c r="CF1328" s="3">
        <v>45933</v>
      </c>
      <c r="CI1328">
        <v>1</v>
      </c>
      <c r="CJ1328">
        <v>1</v>
      </c>
      <c r="CK1328">
        <v>43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"080068249915"</f>
        <v>080068249915</v>
      </c>
      <c r="F1329" s="3">
        <v>45931</v>
      </c>
      <c r="G1329">
        <v>202607</v>
      </c>
      <c r="H1329" t="s">
        <v>79</v>
      </c>
      <c r="I1329" t="s">
        <v>80</v>
      </c>
      <c r="J1329" t="s">
        <v>91</v>
      </c>
      <c r="K1329" t="s">
        <v>78</v>
      </c>
      <c r="L1329" t="s">
        <v>1765</v>
      </c>
      <c r="M1329" t="s">
        <v>1766</v>
      </c>
      <c r="N1329" t="s">
        <v>1767</v>
      </c>
      <c r="O1329" t="s">
        <v>95</v>
      </c>
      <c r="P1329" t="str">
        <f>"4170062534                    "</f>
        <v xml:space="preserve">4170062534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60.97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5</v>
      </c>
      <c r="BJ1329">
        <v>3.6</v>
      </c>
      <c r="BK1329">
        <v>5</v>
      </c>
      <c r="BL1329">
        <v>199.39</v>
      </c>
      <c r="BM1329">
        <v>29.91</v>
      </c>
      <c r="BN1329">
        <v>229.3</v>
      </c>
      <c r="BO1329">
        <v>229.3</v>
      </c>
      <c r="BQ1329" t="s">
        <v>1768</v>
      </c>
      <c r="BR1329" t="s">
        <v>97</v>
      </c>
      <c r="BS1329" s="3">
        <v>45932</v>
      </c>
      <c r="BT1329" s="4">
        <v>0.41388888888888886</v>
      </c>
      <c r="BU1329" t="s">
        <v>2102</v>
      </c>
      <c r="BV1329" t="s">
        <v>86</v>
      </c>
      <c r="BY1329">
        <v>17769.509999999998</v>
      </c>
      <c r="BZ1329" t="s">
        <v>2096</v>
      </c>
      <c r="CC1329" t="s">
        <v>1766</v>
      </c>
      <c r="CD1329">
        <v>1035</v>
      </c>
      <c r="CE1329" t="s">
        <v>101</v>
      </c>
      <c r="CF1329" s="3">
        <v>45933</v>
      </c>
      <c r="CI1329">
        <v>1</v>
      </c>
      <c r="CJ1329">
        <v>1</v>
      </c>
      <c r="CK1329">
        <v>43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"080068268625"</f>
        <v>080068268625</v>
      </c>
      <c r="F1330" s="3">
        <v>45932</v>
      </c>
      <c r="G1330">
        <v>202607</v>
      </c>
      <c r="H1330" t="s">
        <v>79</v>
      </c>
      <c r="I1330" t="s">
        <v>80</v>
      </c>
      <c r="J1330" t="s">
        <v>91</v>
      </c>
      <c r="K1330" t="s">
        <v>78</v>
      </c>
      <c r="L1330" t="s">
        <v>239</v>
      </c>
      <c r="M1330" t="s">
        <v>240</v>
      </c>
      <c r="N1330" t="s">
        <v>526</v>
      </c>
      <c r="O1330" t="s">
        <v>95</v>
      </c>
      <c r="P1330" t="str">
        <f>"4170062665                    "</f>
        <v xml:space="preserve">4170062665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60.97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8</v>
      </c>
      <c r="BJ1330">
        <v>8.5</v>
      </c>
      <c r="BK1330">
        <v>9</v>
      </c>
      <c r="BL1330">
        <v>199.39</v>
      </c>
      <c r="BM1330">
        <v>29.91</v>
      </c>
      <c r="BN1330">
        <v>229.3</v>
      </c>
      <c r="BO1330">
        <v>229.3</v>
      </c>
      <c r="BQ1330" t="s">
        <v>527</v>
      </c>
      <c r="BR1330" t="s">
        <v>97</v>
      </c>
      <c r="BS1330" s="3">
        <v>45937</v>
      </c>
      <c r="BT1330" s="4">
        <v>0.4201388888888889</v>
      </c>
      <c r="BU1330" t="s">
        <v>528</v>
      </c>
      <c r="BV1330" t="s">
        <v>90</v>
      </c>
      <c r="BW1330" t="s">
        <v>731</v>
      </c>
      <c r="BX1330" t="s">
        <v>732</v>
      </c>
      <c r="BY1330">
        <v>42432</v>
      </c>
      <c r="BZ1330" t="s">
        <v>2096</v>
      </c>
      <c r="CA1330" t="s">
        <v>529</v>
      </c>
      <c r="CC1330" t="s">
        <v>240</v>
      </c>
      <c r="CD1330" s="5" t="s">
        <v>245</v>
      </c>
      <c r="CE1330" t="s">
        <v>107</v>
      </c>
      <c r="CF1330" s="3">
        <v>45938</v>
      </c>
      <c r="CI1330">
        <v>1</v>
      </c>
      <c r="CJ1330">
        <v>3</v>
      </c>
      <c r="CK1330">
        <v>43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"080068272551"</f>
        <v>080068272551</v>
      </c>
      <c r="F1331" s="3">
        <v>45932</v>
      </c>
      <c r="G1331">
        <v>202607</v>
      </c>
      <c r="H1331" t="s">
        <v>79</v>
      </c>
      <c r="I1331" t="s">
        <v>80</v>
      </c>
      <c r="J1331" t="s">
        <v>91</v>
      </c>
      <c r="K1331" t="s">
        <v>78</v>
      </c>
      <c r="L1331" t="s">
        <v>350</v>
      </c>
      <c r="M1331" t="s">
        <v>351</v>
      </c>
      <c r="N1331" t="s">
        <v>1613</v>
      </c>
      <c r="O1331" t="s">
        <v>95</v>
      </c>
      <c r="P1331" t="str">
        <f>"4170062771                    "</f>
        <v xml:space="preserve">4170062771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60.97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2.5</v>
      </c>
      <c r="BJ1331">
        <v>7</v>
      </c>
      <c r="BK1331">
        <v>7</v>
      </c>
      <c r="BL1331">
        <v>199.39</v>
      </c>
      <c r="BM1331">
        <v>29.91</v>
      </c>
      <c r="BN1331">
        <v>229.3</v>
      </c>
      <c r="BO1331">
        <v>229.3</v>
      </c>
      <c r="BQ1331" t="s">
        <v>1614</v>
      </c>
      <c r="BR1331" t="s">
        <v>97</v>
      </c>
      <c r="BS1331" s="3">
        <v>45933</v>
      </c>
      <c r="BT1331" s="4">
        <v>0.42916666666666664</v>
      </c>
      <c r="BU1331" t="s">
        <v>2103</v>
      </c>
      <c r="BV1331" t="s">
        <v>86</v>
      </c>
      <c r="BY1331">
        <v>34992.720000000001</v>
      </c>
      <c r="BZ1331" t="s">
        <v>2096</v>
      </c>
      <c r="CA1331" t="s">
        <v>2104</v>
      </c>
      <c r="CC1331" t="s">
        <v>351</v>
      </c>
      <c r="CD1331" s="5" t="s">
        <v>356</v>
      </c>
      <c r="CE1331" t="s">
        <v>101</v>
      </c>
      <c r="CF1331" s="3">
        <v>45936</v>
      </c>
      <c r="CI1331">
        <v>1</v>
      </c>
      <c r="CJ1331">
        <v>1</v>
      </c>
      <c r="CK1331">
        <v>43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"080068276037"</f>
        <v>080068276037</v>
      </c>
      <c r="F1332" s="3">
        <v>45932</v>
      </c>
      <c r="G1332">
        <v>202607</v>
      </c>
      <c r="H1332" t="s">
        <v>79</v>
      </c>
      <c r="I1332" t="s">
        <v>80</v>
      </c>
      <c r="J1332" t="s">
        <v>91</v>
      </c>
      <c r="K1332" t="s">
        <v>78</v>
      </c>
      <c r="L1332" t="s">
        <v>605</v>
      </c>
      <c r="M1332" t="s">
        <v>606</v>
      </c>
      <c r="N1332" t="s">
        <v>607</v>
      </c>
      <c r="O1332" t="s">
        <v>95</v>
      </c>
      <c r="P1332" t="str">
        <f>"4170062648                    "</f>
        <v xml:space="preserve">4170062648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60.97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9</v>
      </c>
      <c r="BJ1332">
        <v>4.0999999999999996</v>
      </c>
      <c r="BK1332">
        <v>9</v>
      </c>
      <c r="BL1332">
        <v>199.39</v>
      </c>
      <c r="BM1332">
        <v>29.91</v>
      </c>
      <c r="BN1332">
        <v>229.3</v>
      </c>
      <c r="BO1332">
        <v>229.3</v>
      </c>
      <c r="BQ1332" t="s">
        <v>608</v>
      </c>
      <c r="BR1332" t="s">
        <v>97</v>
      </c>
      <c r="BS1332" s="3">
        <v>45933</v>
      </c>
      <c r="BT1332" s="4">
        <v>0.33680555555555558</v>
      </c>
      <c r="BU1332" t="s">
        <v>609</v>
      </c>
      <c r="BV1332" t="s">
        <v>86</v>
      </c>
      <c r="BY1332">
        <v>20358</v>
      </c>
      <c r="BZ1332" t="s">
        <v>2096</v>
      </c>
      <c r="CA1332" t="s">
        <v>610</v>
      </c>
      <c r="CC1332" t="s">
        <v>606</v>
      </c>
      <c r="CD1332">
        <v>1947</v>
      </c>
      <c r="CE1332" t="s">
        <v>101</v>
      </c>
      <c r="CF1332" s="3">
        <v>45936</v>
      </c>
      <c r="CI1332">
        <v>1</v>
      </c>
      <c r="CJ1332">
        <v>1</v>
      </c>
      <c r="CK1332">
        <v>43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"080068338235"</f>
        <v>080068338235</v>
      </c>
      <c r="F1333" s="3">
        <v>45936</v>
      </c>
      <c r="G1333">
        <v>202607</v>
      </c>
      <c r="H1333" t="s">
        <v>79</v>
      </c>
      <c r="I1333" t="s">
        <v>80</v>
      </c>
      <c r="J1333" t="s">
        <v>91</v>
      </c>
      <c r="K1333" t="s">
        <v>78</v>
      </c>
      <c r="L1333" t="s">
        <v>605</v>
      </c>
      <c r="M1333" t="s">
        <v>606</v>
      </c>
      <c r="N1333" t="s">
        <v>607</v>
      </c>
      <c r="O1333" t="s">
        <v>95</v>
      </c>
      <c r="P1333" t="str">
        <f>"4170062843                    "</f>
        <v xml:space="preserve">4170062843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60.97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</v>
      </c>
      <c r="BJ1333">
        <v>4</v>
      </c>
      <c r="BK1333">
        <v>4</v>
      </c>
      <c r="BL1333">
        <v>199.39</v>
      </c>
      <c r="BM1333">
        <v>29.91</v>
      </c>
      <c r="BN1333">
        <v>229.3</v>
      </c>
      <c r="BO1333">
        <v>229.3</v>
      </c>
      <c r="BQ1333" t="s">
        <v>608</v>
      </c>
      <c r="BR1333" t="s">
        <v>97</v>
      </c>
      <c r="BS1333" s="3">
        <v>45937</v>
      </c>
      <c r="BT1333" s="4">
        <v>0.3659722222222222</v>
      </c>
      <c r="BU1333" t="s">
        <v>609</v>
      </c>
      <c r="BV1333" t="s">
        <v>86</v>
      </c>
      <c r="BY1333">
        <v>19992</v>
      </c>
      <c r="BZ1333" t="s">
        <v>2096</v>
      </c>
      <c r="CA1333" t="s">
        <v>610</v>
      </c>
      <c r="CC1333" t="s">
        <v>606</v>
      </c>
      <c r="CD1333">
        <v>1947</v>
      </c>
      <c r="CE1333" t="s">
        <v>107</v>
      </c>
      <c r="CF1333" s="3">
        <v>45938</v>
      </c>
      <c r="CI1333">
        <v>1</v>
      </c>
      <c r="CJ1333">
        <v>1</v>
      </c>
      <c r="CK1333">
        <v>43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"080068344316"</f>
        <v>080068344316</v>
      </c>
      <c r="F1334" s="3">
        <v>45936</v>
      </c>
      <c r="G1334">
        <v>202607</v>
      </c>
      <c r="H1334" t="s">
        <v>79</v>
      </c>
      <c r="I1334" t="s">
        <v>80</v>
      </c>
      <c r="J1334" t="s">
        <v>91</v>
      </c>
      <c r="K1334" t="s">
        <v>78</v>
      </c>
      <c r="L1334" t="s">
        <v>605</v>
      </c>
      <c r="M1334" t="s">
        <v>606</v>
      </c>
      <c r="N1334" t="s">
        <v>607</v>
      </c>
      <c r="O1334" t="s">
        <v>95</v>
      </c>
      <c r="P1334" t="str">
        <f>"4170062895                    "</f>
        <v xml:space="preserve">4170062895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60.97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3.9</v>
      </c>
      <c r="BK1334">
        <v>4</v>
      </c>
      <c r="BL1334">
        <v>199.39</v>
      </c>
      <c r="BM1334">
        <v>29.91</v>
      </c>
      <c r="BN1334">
        <v>229.3</v>
      </c>
      <c r="BO1334">
        <v>229.3</v>
      </c>
      <c r="BQ1334" t="s">
        <v>608</v>
      </c>
      <c r="BR1334" t="s">
        <v>97</v>
      </c>
      <c r="BS1334" s="3">
        <v>45937</v>
      </c>
      <c r="BT1334" s="4">
        <v>0.36527777777777776</v>
      </c>
      <c r="BU1334" t="s">
        <v>609</v>
      </c>
      <c r="BV1334" t="s">
        <v>86</v>
      </c>
      <c r="BY1334">
        <v>19600</v>
      </c>
      <c r="BZ1334" t="s">
        <v>2096</v>
      </c>
      <c r="CA1334" t="s">
        <v>610</v>
      </c>
      <c r="CC1334" t="s">
        <v>606</v>
      </c>
      <c r="CD1334">
        <v>1947</v>
      </c>
      <c r="CE1334" t="s">
        <v>107</v>
      </c>
      <c r="CF1334" s="3">
        <v>45938</v>
      </c>
      <c r="CI1334">
        <v>1</v>
      </c>
      <c r="CJ1334">
        <v>1</v>
      </c>
      <c r="CK1334">
        <v>43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"080068344793"</f>
        <v>080068344793</v>
      </c>
      <c r="F1335" s="3">
        <v>45936</v>
      </c>
      <c r="G1335">
        <v>202607</v>
      </c>
      <c r="H1335" t="s">
        <v>79</v>
      </c>
      <c r="I1335" t="s">
        <v>80</v>
      </c>
      <c r="J1335" t="s">
        <v>91</v>
      </c>
      <c r="K1335" t="s">
        <v>78</v>
      </c>
      <c r="L1335" t="s">
        <v>259</v>
      </c>
      <c r="M1335" t="s">
        <v>260</v>
      </c>
      <c r="N1335" t="s">
        <v>261</v>
      </c>
      <c r="O1335" t="s">
        <v>95</v>
      </c>
      <c r="P1335" t="str">
        <f>"4170063099                    "</f>
        <v xml:space="preserve">4170063099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60.97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4.2</v>
      </c>
      <c r="BJ1335">
        <v>1.5</v>
      </c>
      <c r="BK1335">
        <v>5</v>
      </c>
      <c r="BL1335">
        <v>199.39</v>
      </c>
      <c r="BM1335">
        <v>29.91</v>
      </c>
      <c r="BN1335">
        <v>229.3</v>
      </c>
      <c r="BO1335">
        <v>229.3</v>
      </c>
      <c r="BQ1335" t="s">
        <v>262</v>
      </c>
      <c r="BR1335" t="s">
        <v>97</v>
      </c>
      <c r="BS1335" s="3">
        <v>45937</v>
      </c>
      <c r="BT1335" s="4">
        <v>0.65277777777777779</v>
      </c>
      <c r="BU1335" t="s">
        <v>2105</v>
      </c>
      <c r="BV1335" t="s">
        <v>86</v>
      </c>
      <c r="BY1335">
        <v>7520.31</v>
      </c>
      <c r="BZ1335" t="s">
        <v>2096</v>
      </c>
      <c r="CA1335" t="s">
        <v>264</v>
      </c>
      <c r="CC1335" t="s">
        <v>260</v>
      </c>
      <c r="CD1335">
        <v>2380</v>
      </c>
      <c r="CE1335" t="s">
        <v>107</v>
      </c>
      <c r="CF1335" s="3">
        <v>45938</v>
      </c>
      <c r="CI1335">
        <v>1</v>
      </c>
      <c r="CJ1335">
        <v>1</v>
      </c>
      <c r="CK1335">
        <v>43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"080068348255"</f>
        <v>080068348255</v>
      </c>
      <c r="F1336" s="3">
        <v>45936</v>
      </c>
      <c r="G1336">
        <v>202607</v>
      </c>
      <c r="H1336" t="s">
        <v>79</v>
      </c>
      <c r="I1336" t="s">
        <v>80</v>
      </c>
      <c r="J1336" t="s">
        <v>91</v>
      </c>
      <c r="K1336" t="s">
        <v>78</v>
      </c>
      <c r="L1336" t="s">
        <v>1765</v>
      </c>
      <c r="M1336" t="s">
        <v>1766</v>
      </c>
      <c r="N1336" t="s">
        <v>2106</v>
      </c>
      <c r="O1336" t="s">
        <v>95</v>
      </c>
      <c r="P1336" t="str">
        <f>"4170063083                    "</f>
        <v xml:space="preserve">4170063083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60.97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2.2000000000000002</v>
      </c>
      <c r="BJ1336">
        <v>5.0999999999999996</v>
      </c>
      <c r="BK1336">
        <v>6</v>
      </c>
      <c r="BL1336">
        <v>199.39</v>
      </c>
      <c r="BM1336">
        <v>29.91</v>
      </c>
      <c r="BN1336">
        <v>229.3</v>
      </c>
      <c r="BO1336">
        <v>229.3</v>
      </c>
      <c r="BQ1336" t="s">
        <v>2107</v>
      </c>
      <c r="BR1336" t="s">
        <v>97</v>
      </c>
      <c r="BS1336" s="3">
        <v>45937</v>
      </c>
      <c r="BT1336" s="4">
        <v>0.41875000000000001</v>
      </c>
      <c r="BU1336" t="s">
        <v>2108</v>
      </c>
      <c r="BV1336" t="s">
        <v>86</v>
      </c>
      <c r="BY1336">
        <v>25447.5</v>
      </c>
      <c r="BZ1336" t="s">
        <v>2096</v>
      </c>
      <c r="CA1336" t="s">
        <v>2109</v>
      </c>
      <c r="CC1336" t="s">
        <v>1766</v>
      </c>
      <c r="CD1336">
        <v>1034</v>
      </c>
      <c r="CE1336" t="s">
        <v>101</v>
      </c>
      <c r="CF1336" s="3">
        <v>45938</v>
      </c>
      <c r="CI1336">
        <v>1</v>
      </c>
      <c r="CJ1336">
        <v>1</v>
      </c>
      <c r="CK1336">
        <v>43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"080068368046"</f>
        <v>080068368046</v>
      </c>
      <c r="F1337" s="3">
        <v>45937</v>
      </c>
      <c r="G1337">
        <v>202607</v>
      </c>
      <c r="H1337" t="s">
        <v>79</v>
      </c>
      <c r="I1337" t="s">
        <v>80</v>
      </c>
      <c r="J1337" t="s">
        <v>91</v>
      </c>
      <c r="K1337" t="s">
        <v>78</v>
      </c>
      <c r="L1337" t="s">
        <v>195</v>
      </c>
      <c r="M1337" t="s">
        <v>196</v>
      </c>
      <c r="N1337" t="s">
        <v>197</v>
      </c>
      <c r="O1337" t="s">
        <v>95</v>
      </c>
      <c r="P1337" t="str">
        <f>"4170063008                    "</f>
        <v xml:space="preserve">4170063008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60.97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9</v>
      </c>
      <c r="BJ1337">
        <v>14</v>
      </c>
      <c r="BK1337">
        <v>14</v>
      </c>
      <c r="BL1337">
        <v>199.39</v>
      </c>
      <c r="BM1337">
        <v>29.91</v>
      </c>
      <c r="BN1337">
        <v>229.3</v>
      </c>
      <c r="BO1337">
        <v>229.3</v>
      </c>
      <c r="BQ1337" t="s">
        <v>198</v>
      </c>
      <c r="BR1337" t="s">
        <v>97</v>
      </c>
      <c r="BS1337" s="3">
        <v>45938</v>
      </c>
      <c r="BT1337" s="4">
        <v>0.47361111111111109</v>
      </c>
      <c r="BU1337" t="s">
        <v>1328</v>
      </c>
      <c r="BV1337" t="s">
        <v>86</v>
      </c>
      <c r="BY1337">
        <v>69984</v>
      </c>
      <c r="BZ1337" t="s">
        <v>2096</v>
      </c>
      <c r="CA1337" t="s">
        <v>200</v>
      </c>
      <c r="CC1337" t="s">
        <v>196</v>
      </c>
      <c r="CD1337">
        <v>1900</v>
      </c>
      <c r="CE1337" t="s">
        <v>107</v>
      </c>
      <c r="CF1337" s="3">
        <v>45939</v>
      </c>
      <c r="CI1337">
        <v>1</v>
      </c>
      <c r="CJ1337">
        <v>1</v>
      </c>
      <c r="CK1337">
        <v>43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"080068369572"</f>
        <v>080068369572</v>
      </c>
      <c r="F1338" s="3">
        <v>45937</v>
      </c>
      <c r="G1338">
        <v>202607</v>
      </c>
      <c r="H1338" t="s">
        <v>79</v>
      </c>
      <c r="I1338" t="s">
        <v>80</v>
      </c>
      <c r="J1338" t="s">
        <v>91</v>
      </c>
      <c r="K1338" t="s">
        <v>78</v>
      </c>
      <c r="L1338" t="s">
        <v>300</v>
      </c>
      <c r="M1338" t="s">
        <v>301</v>
      </c>
      <c r="N1338" t="s">
        <v>493</v>
      </c>
      <c r="O1338" t="s">
        <v>95</v>
      </c>
      <c r="P1338" t="str">
        <f>"4170063278                    "</f>
        <v xml:space="preserve">4170063278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47.74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4</v>
      </c>
      <c r="BJ1338">
        <v>5.2</v>
      </c>
      <c r="BK1338">
        <v>6</v>
      </c>
      <c r="BL1338">
        <v>157.4</v>
      </c>
      <c r="BM1338">
        <v>23.61</v>
      </c>
      <c r="BN1338">
        <v>181.01</v>
      </c>
      <c r="BO1338">
        <v>181.01</v>
      </c>
      <c r="BQ1338" t="s">
        <v>494</v>
      </c>
      <c r="BR1338" t="s">
        <v>97</v>
      </c>
      <c r="BS1338" s="3">
        <v>45938</v>
      </c>
      <c r="BT1338" s="4">
        <v>0.53611111111111109</v>
      </c>
      <c r="BU1338" t="s">
        <v>2110</v>
      </c>
      <c r="BV1338" t="s">
        <v>86</v>
      </c>
      <c r="BY1338">
        <v>26013</v>
      </c>
      <c r="BZ1338" t="s">
        <v>2096</v>
      </c>
      <c r="CA1338" t="s">
        <v>496</v>
      </c>
      <c r="CC1338" t="s">
        <v>301</v>
      </c>
      <c r="CD1338">
        <v>1739</v>
      </c>
      <c r="CE1338" t="s">
        <v>101</v>
      </c>
      <c r="CF1338" s="3">
        <v>45939</v>
      </c>
      <c r="CI1338">
        <v>1</v>
      </c>
      <c r="CJ1338">
        <v>1</v>
      </c>
      <c r="CK1338">
        <v>44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"080068486617"</f>
        <v>080068486617</v>
      </c>
      <c r="F1339" s="3">
        <v>45943</v>
      </c>
      <c r="G1339">
        <v>202607</v>
      </c>
      <c r="H1339" t="s">
        <v>79</v>
      </c>
      <c r="I1339" t="s">
        <v>80</v>
      </c>
      <c r="J1339" t="s">
        <v>91</v>
      </c>
      <c r="K1339" t="s">
        <v>78</v>
      </c>
      <c r="L1339" t="s">
        <v>79</v>
      </c>
      <c r="M1339" t="s">
        <v>80</v>
      </c>
      <c r="N1339" t="s">
        <v>577</v>
      </c>
      <c r="O1339" t="s">
        <v>82</v>
      </c>
      <c r="P1339" t="str">
        <f>"4170064087                    "</f>
        <v xml:space="preserve">4170064087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17.46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55.42</v>
      </c>
      <c r="BM1339">
        <v>8.31</v>
      </c>
      <c r="BN1339">
        <v>63.73</v>
      </c>
      <c r="BO1339">
        <v>63.73</v>
      </c>
      <c r="BQ1339" t="s">
        <v>578</v>
      </c>
      <c r="BR1339" t="s">
        <v>97</v>
      </c>
      <c r="BS1339" s="3">
        <v>45944</v>
      </c>
      <c r="BT1339" s="4">
        <v>0.39374999999999999</v>
      </c>
      <c r="BU1339" t="s">
        <v>579</v>
      </c>
      <c r="BV1339" t="s">
        <v>86</v>
      </c>
      <c r="BY1339">
        <v>1200</v>
      </c>
      <c r="CA1339" t="s">
        <v>580</v>
      </c>
      <c r="CC1339" t="s">
        <v>80</v>
      </c>
      <c r="CD1339">
        <v>1619</v>
      </c>
      <c r="CE1339" t="s">
        <v>147</v>
      </c>
      <c r="CF1339" s="3">
        <v>45944</v>
      </c>
      <c r="CI1339">
        <v>1</v>
      </c>
      <c r="CJ1339">
        <v>1</v>
      </c>
      <c r="CK1339">
        <v>22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"080068486655"</f>
        <v>080068486655</v>
      </c>
      <c r="F1340" s="3">
        <v>45943</v>
      </c>
      <c r="G1340">
        <v>202607</v>
      </c>
      <c r="H1340" t="s">
        <v>79</v>
      </c>
      <c r="I1340" t="s">
        <v>80</v>
      </c>
      <c r="J1340" t="s">
        <v>91</v>
      </c>
      <c r="K1340" t="s">
        <v>78</v>
      </c>
      <c r="L1340" t="s">
        <v>121</v>
      </c>
      <c r="M1340" t="s">
        <v>122</v>
      </c>
      <c r="N1340" t="s">
        <v>1023</v>
      </c>
      <c r="O1340" t="s">
        <v>82</v>
      </c>
      <c r="P1340" t="str">
        <f>"4170064076                    "</f>
        <v xml:space="preserve">4170064076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22.36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70.959999999999994</v>
      </c>
      <c r="BM1340">
        <v>10.64</v>
      </c>
      <c r="BN1340">
        <v>81.599999999999994</v>
      </c>
      <c r="BO1340">
        <v>81.599999999999994</v>
      </c>
      <c r="BQ1340" t="s">
        <v>1024</v>
      </c>
      <c r="BR1340" t="s">
        <v>97</v>
      </c>
      <c r="BS1340" s="3">
        <v>45944</v>
      </c>
      <c r="BT1340" s="4">
        <v>0.43402777777777779</v>
      </c>
      <c r="BU1340" t="s">
        <v>1025</v>
      </c>
      <c r="BV1340" t="s">
        <v>86</v>
      </c>
      <c r="BY1340">
        <v>1200</v>
      </c>
      <c r="CA1340" t="s">
        <v>1406</v>
      </c>
      <c r="CC1340" t="s">
        <v>122</v>
      </c>
      <c r="CD1340">
        <v>4000</v>
      </c>
      <c r="CE1340" t="s">
        <v>147</v>
      </c>
      <c r="CF1340" s="3">
        <v>45944</v>
      </c>
      <c r="CI1340">
        <v>1</v>
      </c>
      <c r="CJ1340">
        <v>1</v>
      </c>
      <c r="CK1340">
        <v>21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"080068486689"</f>
        <v>080068486689</v>
      </c>
      <c r="F1341" s="3">
        <v>45943</v>
      </c>
      <c r="G1341">
        <v>202607</v>
      </c>
      <c r="H1341" t="s">
        <v>79</v>
      </c>
      <c r="I1341" t="s">
        <v>80</v>
      </c>
      <c r="J1341" t="s">
        <v>91</v>
      </c>
      <c r="K1341" t="s">
        <v>78</v>
      </c>
      <c r="L1341" t="s">
        <v>2111</v>
      </c>
      <c r="M1341" t="s">
        <v>2112</v>
      </c>
      <c r="N1341" t="s">
        <v>2113</v>
      </c>
      <c r="O1341" t="s">
        <v>82</v>
      </c>
      <c r="P1341" t="str">
        <f>"4170064046                    "</f>
        <v xml:space="preserve">4170064046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43.31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137.47</v>
      </c>
      <c r="BM1341">
        <v>20.62</v>
      </c>
      <c r="BN1341">
        <v>158.09</v>
      </c>
      <c r="BO1341">
        <v>158.09</v>
      </c>
      <c r="BQ1341" t="s">
        <v>2114</v>
      </c>
      <c r="BR1341" t="s">
        <v>97</v>
      </c>
      <c r="BS1341" s="3">
        <v>45944</v>
      </c>
      <c r="BT1341" s="4">
        <v>0.46736111111111112</v>
      </c>
      <c r="BU1341" t="s">
        <v>2115</v>
      </c>
      <c r="BV1341" t="s">
        <v>86</v>
      </c>
      <c r="BY1341">
        <v>1200</v>
      </c>
      <c r="CA1341" t="s">
        <v>2116</v>
      </c>
      <c r="CC1341" t="s">
        <v>2112</v>
      </c>
      <c r="CD1341">
        <v>4399</v>
      </c>
      <c r="CE1341" t="s">
        <v>147</v>
      </c>
      <c r="CF1341" s="3">
        <v>45944</v>
      </c>
      <c r="CI1341">
        <v>1</v>
      </c>
      <c r="CJ1341">
        <v>1</v>
      </c>
      <c r="CK1341">
        <v>23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"080068486825"</f>
        <v>080068486825</v>
      </c>
      <c r="F1342" s="3">
        <v>45943</v>
      </c>
      <c r="G1342">
        <v>202607</v>
      </c>
      <c r="H1342" t="s">
        <v>79</v>
      </c>
      <c r="I1342" t="s">
        <v>80</v>
      </c>
      <c r="J1342" t="s">
        <v>91</v>
      </c>
      <c r="K1342" t="s">
        <v>78</v>
      </c>
      <c r="L1342" t="s">
        <v>79</v>
      </c>
      <c r="M1342" t="s">
        <v>80</v>
      </c>
      <c r="N1342" t="s">
        <v>1001</v>
      </c>
      <c r="O1342" t="s">
        <v>82</v>
      </c>
      <c r="P1342" t="str">
        <f>"4170064054                    "</f>
        <v xml:space="preserve">4170064054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17.46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55.42</v>
      </c>
      <c r="BM1342">
        <v>8.31</v>
      </c>
      <c r="BN1342">
        <v>63.73</v>
      </c>
      <c r="BO1342">
        <v>63.73</v>
      </c>
      <c r="BQ1342" t="s">
        <v>1002</v>
      </c>
      <c r="BR1342" t="s">
        <v>97</v>
      </c>
      <c r="BS1342" s="3">
        <v>45944</v>
      </c>
      <c r="BT1342" s="4">
        <v>0.375</v>
      </c>
      <c r="BU1342" t="s">
        <v>2117</v>
      </c>
      <c r="BV1342" t="s">
        <v>86</v>
      </c>
      <c r="BY1342">
        <v>1200</v>
      </c>
      <c r="CA1342" t="s">
        <v>166</v>
      </c>
      <c r="CC1342" t="s">
        <v>80</v>
      </c>
      <c r="CD1342">
        <v>1625</v>
      </c>
      <c r="CE1342" t="s">
        <v>147</v>
      </c>
      <c r="CF1342" s="3">
        <v>45945</v>
      </c>
      <c r="CI1342">
        <v>1</v>
      </c>
      <c r="CJ1342">
        <v>1</v>
      </c>
      <c r="CK1342">
        <v>22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"080068486892"</f>
        <v>080068486892</v>
      </c>
      <c r="F1343" s="3">
        <v>45943</v>
      </c>
      <c r="G1343">
        <v>202607</v>
      </c>
      <c r="H1343" t="s">
        <v>79</v>
      </c>
      <c r="I1343" t="s">
        <v>80</v>
      </c>
      <c r="J1343" t="s">
        <v>91</v>
      </c>
      <c r="K1343" t="s">
        <v>78</v>
      </c>
      <c r="L1343" t="s">
        <v>223</v>
      </c>
      <c r="M1343" t="s">
        <v>224</v>
      </c>
      <c r="N1343" t="s">
        <v>1019</v>
      </c>
      <c r="O1343" t="s">
        <v>82</v>
      </c>
      <c r="P1343" t="str">
        <f>"4170064060                    "</f>
        <v xml:space="preserve">4170064060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17.46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55.42</v>
      </c>
      <c r="BM1343">
        <v>8.31</v>
      </c>
      <c r="BN1343">
        <v>63.73</v>
      </c>
      <c r="BO1343">
        <v>63.73</v>
      </c>
      <c r="BQ1343" t="s">
        <v>1020</v>
      </c>
      <c r="BR1343" t="s">
        <v>97</v>
      </c>
      <c r="BS1343" s="3">
        <v>45944</v>
      </c>
      <c r="BT1343" s="4">
        <v>0.35</v>
      </c>
      <c r="BU1343" t="s">
        <v>2118</v>
      </c>
      <c r="BV1343" t="s">
        <v>86</v>
      </c>
      <c r="BY1343">
        <v>1200</v>
      </c>
      <c r="CA1343" t="s">
        <v>508</v>
      </c>
      <c r="CC1343" t="s">
        <v>224</v>
      </c>
      <c r="CD1343">
        <v>1459</v>
      </c>
      <c r="CE1343" t="s">
        <v>147</v>
      </c>
      <c r="CF1343" s="3">
        <v>45945</v>
      </c>
      <c r="CI1343">
        <v>1</v>
      </c>
      <c r="CJ1343">
        <v>1</v>
      </c>
      <c r="CK1343">
        <v>22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"080068487528"</f>
        <v>080068487528</v>
      </c>
      <c r="F1344" s="3">
        <v>45943</v>
      </c>
      <c r="G1344">
        <v>202607</v>
      </c>
      <c r="H1344" t="s">
        <v>79</v>
      </c>
      <c r="I1344" t="s">
        <v>80</v>
      </c>
      <c r="J1344" t="s">
        <v>91</v>
      </c>
      <c r="K1344" t="s">
        <v>78</v>
      </c>
      <c r="L1344" t="s">
        <v>206</v>
      </c>
      <c r="M1344" t="s">
        <v>207</v>
      </c>
      <c r="N1344" t="s">
        <v>1200</v>
      </c>
      <c r="O1344" t="s">
        <v>82</v>
      </c>
      <c r="P1344" t="str">
        <f>"4170063979                    "</f>
        <v xml:space="preserve">4170063979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22.36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2</v>
      </c>
      <c r="BJ1344">
        <v>1.7</v>
      </c>
      <c r="BK1344">
        <v>2</v>
      </c>
      <c r="BL1344">
        <v>70.959999999999994</v>
      </c>
      <c r="BM1344">
        <v>10.64</v>
      </c>
      <c r="BN1344">
        <v>81.599999999999994</v>
      </c>
      <c r="BO1344">
        <v>81.599999999999994</v>
      </c>
      <c r="BQ1344" t="s">
        <v>1201</v>
      </c>
      <c r="BR1344" t="s">
        <v>97</v>
      </c>
      <c r="BS1344" s="3">
        <v>45944</v>
      </c>
      <c r="BT1344" s="4">
        <v>0.38263888888888886</v>
      </c>
      <c r="BU1344" t="s">
        <v>2119</v>
      </c>
      <c r="BV1344" t="s">
        <v>86</v>
      </c>
      <c r="BY1344">
        <v>8640</v>
      </c>
      <c r="CA1344" t="s">
        <v>770</v>
      </c>
      <c r="CC1344" t="s">
        <v>207</v>
      </c>
      <c r="CD1344">
        <v>8001</v>
      </c>
      <c r="CE1344" t="s">
        <v>191</v>
      </c>
      <c r="CF1344" s="3">
        <v>45945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"080068487540"</f>
        <v>080068487540</v>
      </c>
      <c r="F1345" s="3">
        <v>45943</v>
      </c>
      <c r="G1345">
        <v>202607</v>
      </c>
      <c r="H1345" t="s">
        <v>79</v>
      </c>
      <c r="I1345" t="s">
        <v>80</v>
      </c>
      <c r="J1345" t="s">
        <v>91</v>
      </c>
      <c r="K1345" t="s">
        <v>78</v>
      </c>
      <c r="L1345" t="s">
        <v>114</v>
      </c>
      <c r="M1345" t="s">
        <v>115</v>
      </c>
      <c r="N1345" t="s">
        <v>2120</v>
      </c>
      <c r="O1345" t="s">
        <v>82</v>
      </c>
      <c r="P1345" t="str">
        <f>"4170064068                    "</f>
        <v xml:space="preserve">4170064068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22.36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70.959999999999994</v>
      </c>
      <c r="BM1345">
        <v>10.64</v>
      </c>
      <c r="BN1345">
        <v>81.599999999999994</v>
      </c>
      <c r="BO1345">
        <v>81.599999999999994</v>
      </c>
      <c r="BQ1345" t="s">
        <v>2121</v>
      </c>
      <c r="BR1345" t="s">
        <v>97</v>
      </c>
      <c r="BS1345" s="3">
        <v>45944</v>
      </c>
      <c r="BT1345" s="4">
        <v>0.46180555555555558</v>
      </c>
      <c r="BU1345" t="s">
        <v>2122</v>
      </c>
      <c r="BV1345" t="s">
        <v>86</v>
      </c>
      <c r="BY1345">
        <v>1200</v>
      </c>
      <c r="CA1345" t="s">
        <v>119</v>
      </c>
      <c r="CC1345" t="s">
        <v>115</v>
      </c>
      <c r="CD1345">
        <v>5201</v>
      </c>
      <c r="CE1345" t="s">
        <v>147</v>
      </c>
      <c r="CF1345" s="3">
        <v>45945</v>
      </c>
      <c r="CI1345">
        <v>5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"080068487597"</f>
        <v>080068487597</v>
      </c>
      <c r="F1346" s="3">
        <v>45943</v>
      </c>
      <c r="G1346">
        <v>202607</v>
      </c>
      <c r="H1346" t="s">
        <v>79</v>
      </c>
      <c r="I1346" t="s">
        <v>80</v>
      </c>
      <c r="J1346" t="s">
        <v>91</v>
      </c>
      <c r="K1346" t="s">
        <v>78</v>
      </c>
      <c r="L1346" t="s">
        <v>108</v>
      </c>
      <c r="M1346" t="s">
        <v>109</v>
      </c>
      <c r="N1346" t="s">
        <v>515</v>
      </c>
      <c r="O1346" t="s">
        <v>82</v>
      </c>
      <c r="P1346" t="str">
        <f>"4170063999                    "</f>
        <v xml:space="preserve">4170063999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22.36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70.959999999999994</v>
      </c>
      <c r="BM1346">
        <v>10.64</v>
      </c>
      <c r="BN1346">
        <v>81.599999999999994</v>
      </c>
      <c r="BO1346">
        <v>81.599999999999994</v>
      </c>
      <c r="BQ1346" t="s">
        <v>516</v>
      </c>
      <c r="BR1346" t="s">
        <v>97</v>
      </c>
      <c r="BS1346" s="3">
        <v>45944</v>
      </c>
      <c r="BT1346" s="4">
        <v>0.42569444444444443</v>
      </c>
      <c r="BU1346" t="s">
        <v>517</v>
      </c>
      <c r="BV1346" t="s">
        <v>86</v>
      </c>
      <c r="BY1346">
        <v>1200</v>
      </c>
      <c r="CA1346" t="s">
        <v>113</v>
      </c>
      <c r="CC1346" t="s">
        <v>109</v>
      </c>
      <c r="CD1346">
        <v>6001</v>
      </c>
      <c r="CE1346" t="s">
        <v>147</v>
      </c>
      <c r="CF1346" s="3">
        <v>45944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"080068487636"</f>
        <v>080068487636</v>
      </c>
      <c r="F1347" s="3">
        <v>45943</v>
      </c>
      <c r="G1347">
        <v>202607</v>
      </c>
      <c r="H1347" t="s">
        <v>79</v>
      </c>
      <c r="I1347" t="s">
        <v>80</v>
      </c>
      <c r="J1347" t="s">
        <v>91</v>
      </c>
      <c r="K1347" t="s">
        <v>78</v>
      </c>
      <c r="L1347" t="s">
        <v>114</v>
      </c>
      <c r="M1347" t="s">
        <v>115</v>
      </c>
      <c r="N1347" t="s">
        <v>746</v>
      </c>
      <c r="O1347" t="s">
        <v>82</v>
      </c>
      <c r="P1347" t="str">
        <f>"4170064084                    "</f>
        <v xml:space="preserve">4170064084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22.36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70.959999999999994</v>
      </c>
      <c r="BM1347">
        <v>10.64</v>
      </c>
      <c r="BN1347">
        <v>81.599999999999994</v>
      </c>
      <c r="BO1347">
        <v>81.599999999999994</v>
      </c>
      <c r="BQ1347" t="s">
        <v>747</v>
      </c>
      <c r="BR1347" t="s">
        <v>97</v>
      </c>
      <c r="BS1347" s="3">
        <v>45944</v>
      </c>
      <c r="BT1347" s="4">
        <v>0.49513888888888891</v>
      </c>
      <c r="BU1347" t="s">
        <v>1863</v>
      </c>
      <c r="BV1347" t="s">
        <v>90</v>
      </c>
      <c r="BY1347">
        <v>1200</v>
      </c>
      <c r="CA1347" t="s">
        <v>749</v>
      </c>
      <c r="CC1347" t="s">
        <v>115</v>
      </c>
      <c r="CD1347">
        <v>5200</v>
      </c>
      <c r="CE1347" t="s">
        <v>147</v>
      </c>
      <c r="CF1347" s="3">
        <v>45945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"080068487672"</f>
        <v>080068487672</v>
      </c>
      <c r="F1348" s="3">
        <v>45943</v>
      </c>
      <c r="G1348">
        <v>202607</v>
      </c>
      <c r="H1348" t="s">
        <v>79</v>
      </c>
      <c r="I1348" t="s">
        <v>80</v>
      </c>
      <c r="J1348" t="s">
        <v>91</v>
      </c>
      <c r="K1348" t="s">
        <v>78</v>
      </c>
      <c r="L1348" t="s">
        <v>788</v>
      </c>
      <c r="M1348" t="s">
        <v>789</v>
      </c>
      <c r="N1348" t="s">
        <v>1294</v>
      </c>
      <c r="O1348" t="s">
        <v>82</v>
      </c>
      <c r="P1348" t="str">
        <f>"4170064069                    "</f>
        <v xml:space="preserve">4170064069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43.31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137.47</v>
      </c>
      <c r="BM1348">
        <v>20.62</v>
      </c>
      <c r="BN1348">
        <v>158.09</v>
      </c>
      <c r="BO1348">
        <v>158.09</v>
      </c>
      <c r="BQ1348" t="s">
        <v>1295</v>
      </c>
      <c r="BR1348" t="s">
        <v>97</v>
      </c>
      <c r="BS1348" s="3">
        <v>45944</v>
      </c>
      <c r="BT1348" s="4">
        <v>0.59930555555555554</v>
      </c>
      <c r="BU1348" t="s">
        <v>2123</v>
      </c>
      <c r="BV1348" t="s">
        <v>86</v>
      </c>
      <c r="BY1348">
        <v>1200</v>
      </c>
      <c r="CA1348" t="s">
        <v>2124</v>
      </c>
      <c r="CC1348" t="s">
        <v>789</v>
      </c>
      <c r="CD1348">
        <v>3280</v>
      </c>
      <c r="CE1348" t="s">
        <v>147</v>
      </c>
      <c r="CF1348" s="3">
        <v>45945</v>
      </c>
      <c r="CI1348">
        <v>1</v>
      </c>
      <c r="CJ1348">
        <v>1</v>
      </c>
      <c r="CK1348">
        <v>23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"080068487710"</f>
        <v>080068487710</v>
      </c>
      <c r="F1349" s="3">
        <v>45943</v>
      </c>
      <c r="G1349">
        <v>202607</v>
      </c>
      <c r="H1349" t="s">
        <v>79</v>
      </c>
      <c r="I1349" t="s">
        <v>80</v>
      </c>
      <c r="J1349" t="s">
        <v>91</v>
      </c>
      <c r="K1349" t="s">
        <v>78</v>
      </c>
      <c r="L1349" t="s">
        <v>108</v>
      </c>
      <c r="M1349" t="s">
        <v>109</v>
      </c>
      <c r="N1349" t="s">
        <v>2125</v>
      </c>
      <c r="O1349" t="s">
        <v>82</v>
      </c>
      <c r="P1349" t="str">
        <f>"4170064011                    "</f>
        <v xml:space="preserve">4170064011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22.36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70.959999999999994</v>
      </c>
      <c r="BM1349">
        <v>10.64</v>
      </c>
      <c r="BN1349">
        <v>81.599999999999994</v>
      </c>
      <c r="BO1349">
        <v>81.599999999999994</v>
      </c>
      <c r="BQ1349" t="s">
        <v>2126</v>
      </c>
      <c r="BR1349" t="s">
        <v>97</v>
      </c>
      <c r="BS1349" s="3">
        <v>45944</v>
      </c>
      <c r="BT1349" s="4">
        <v>0.41319444444444442</v>
      </c>
      <c r="BU1349" t="s">
        <v>2127</v>
      </c>
      <c r="BV1349" t="s">
        <v>86</v>
      </c>
      <c r="BY1349">
        <v>1200</v>
      </c>
      <c r="CA1349" t="s">
        <v>818</v>
      </c>
      <c r="CC1349" t="s">
        <v>109</v>
      </c>
      <c r="CD1349">
        <v>6001</v>
      </c>
      <c r="CE1349" t="s">
        <v>147</v>
      </c>
      <c r="CF1349" s="3">
        <v>45944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"080068488220"</f>
        <v>080068488220</v>
      </c>
      <c r="F1350" s="3">
        <v>45943</v>
      </c>
      <c r="G1350">
        <v>202607</v>
      </c>
      <c r="H1350" t="s">
        <v>79</v>
      </c>
      <c r="I1350" t="s">
        <v>80</v>
      </c>
      <c r="J1350" t="s">
        <v>91</v>
      </c>
      <c r="K1350" t="s">
        <v>78</v>
      </c>
      <c r="L1350" t="s">
        <v>108</v>
      </c>
      <c r="M1350" t="s">
        <v>109</v>
      </c>
      <c r="N1350" t="s">
        <v>515</v>
      </c>
      <c r="O1350" t="s">
        <v>82</v>
      </c>
      <c r="P1350" t="str">
        <f>"4170064001                    "</f>
        <v xml:space="preserve">4170064001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22.36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1.1000000000000001</v>
      </c>
      <c r="BK1350">
        <v>2</v>
      </c>
      <c r="BL1350">
        <v>70.959999999999994</v>
      </c>
      <c r="BM1350">
        <v>10.64</v>
      </c>
      <c r="BN1350">
        <v>81.599999999999994</v>
      </c>
      <c r="BO1350">
        <v>81.599999999999994</v>
      </c>
      <c r="BQ1350" t="s">
        <v>516</v>
      </c>
      <c r="BR1350" t="s">
        <v>97</v>
      </c>
      <c r="BS1350" s="3">
        <v>45944</v>
      </c>
      <c r="BT1350" s="4">
        <v>0.42569444444444443</v>
      </c>
      <c r="BU1350" t="s">
        <v>517</v>
      </c>
      <c r="BV1350" t="s">
        <v>86</v>
      </c>
      <c r="BY1350">
        <v>5510</v>
      </c>
      <c r="CA1350" t="s">
        <v>113</v>
      </c>
      <c r="CC1350" t="s">
        <v>109</v>
      </c>
      <c r="CD1350">
        <v>6001</v>
      </c>
      <c r="CE1350" t="s">
        <v>191</v>
      </c>
      <c r="CF1350" s="3">
        <v>45944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"080068488252"</f>
        <v>080068488252</v>
      </c>
      <c r="F1351" s="3">
        <v>45943</v>
      </c>
      <c r="G1351">
        <v>202607</v>
      </c>
      <c r="H1351" t="s">
        <v>79</v>
      </c>
      <c r="I1351" t="s">
        <v>80</v>
      </c>
      <c r="J1351" t="s">
        <v>91</v>
      </c>
      <c r="K1351" t="s">
        <v>78</v>
      </c>
      <c r="L1351" t="s">
        <v>233</v>
      </c>
      <c r="M1351" t="s">
        <v>234</v>
      </c>
      <c r="N1351" t="s">
        <v>908</v>
      </c>
      <c r="O1351" t="s">
        <v>82</v>
      </c>
      <c r="P1351" t="str">
        <f>"4170064037                    "</f>
        <v xml:space="preserve">4170064037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22.36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70.959999999999994</v>
      </c>
      <c r="BM1351">
        <v>10.64</v>
      </c>
      <c r="BN1351">
        <v>81.599999999999994</v>
      </c>
      <c r="BO1351">
        <v>81.599999999999994</v>
      </c>
      <c r="BQ1351" t="s">
        <v>909</v>
      </c>
      <c r="BR1351" t="s">
        <v>97</v>
      </c>
      <c r="BS1351" s="3">
        <v>45944</v>
      </c>
      <c r="BT1351" s="4">
        <v>0.36805555555555558</v>
      </c>
      <c r="BU1351" t="s">
        <v>2128</v>
      </c>
      <c r="BV1351" t="s">
        <v>86</v>
      </c>
      <c r="BY1351">
        <v>1200</v>
      </c>
      <c r="CA1351">
        <v>7712195338085</v>
      </c>
      <c r="CC1351" t="s">
        <v>234</v>
      </c>
      <c r="CD1351" s="5" t="s">
        <v>238</v>
      </c>
      <c r="CE1351" t="s">
        <v>147</v>
      </c>
      <c r="CF1351" s="3">
        <v>45944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"080068488271"</f>
        <v>080068488271</v>
      </c>
      <c r="F1352" s="3">
        <v>45943</v>
      </c>
      <c r="G1352">
        <v>202607</v>
      </c>
      <c r="H1352" t="s">
        <v>79</v>
      </c>
      <c r="I1352" t="s">
        <v>80</v>
      </c>
      <c r="J1352" t="s">
        <v>91</v>
      </c>
      <c r="K1352" t="s">
        <v>78</v>
      </c>
      <c r="L1352" t="s">
        <v>108</v>
      </c>
      <c r="M1352" t="s">
        <v>109</v>
      </c>
      <c r="N1352" t="s">
        <v>2129</v>
      </c>
      <c r="O1352" t="s">
        <v>82</v>
      </c>
      <c r="P1352" t="str">
        <f>"4170064026                    "</f>
        <v xml:space="preserve">4170064026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22.36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70.959999999999994</v>
      </c>
      <c r="BM1352">
        <v>10.64</v>
      </c>
      <c r="BN1352">
        <v>81.599999999999994</v>
      </c>
      <c r="BO1352">
        <v>81.599999999999994</v>
      </c>
      <c r="BQ1352" t="s">
        <v>2130</v>
      </c>
      <c r="BR1352" t="s">
        <v>97</v>
      </c>
      <c r="BS1352" s="3">
        <v>45944</v>
      </c>
      <c r="BT1352" s="4">
        <v>0.42152777777777778</v>
      </c>
      <c r="BU1352" t="s">
        <v>2131</v>
      </c>
      <c r="BV1352" t="s">
        <v>86</v>
      </c>
      <c r="BY1352">
        <v>1200</v>
      </c>
      <c r="CA1352" t="s">
        <v>113</v>
      </c>
      <c r="CC1352" t="s">
        <v>109</v>
      </c>
      <c r="CD1352">
        <v>6000</v>
      </c>
      <c r="CE1352" t="s">
        <v>147</v>
      </c>
      <c r="CF1352" s="3">
        <v>45944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"080068488285"</f>
        <v>080068488285</v>
      </c>
      <c r="F1353" s="3">
        <v>45943</v>
      </c>
      <c r="G1353">
        <v>202607</v>
      </c>
      <c r="H1353" t="s">
        <v>79</v>
      </c>
      <c r="I1353" t="s">
        <v>80</v>
      </c>
      <c r="J1353" t="s">
        <v>91</v>
      </c>
      <c r="K1353" t="s">
        <v>78</v>
      </c>
      <c r="L1353" t="s">
        <v>168</v>
      </c>
      <c r="M1353" t="s">
        <v>169</v>
      </c>
      <c r="N1353" t="s">
        <v>170</v>
      </c>
      <c r="O1353" t="s">
        <v>82</v>
      </c>
      <c r="P1353" t="str">
        <f>"4170064031                    "</f>
        <v xml:space="preserve">4170064031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22.36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70.959999999999994</v>
      </c>
      <c r="BM1353">
        <v>10.64</v>
      </c>
      <c r="BN1353">
        <v>81.599999999999994</v>
      </c>
      <c r="BO1353">
        <v>81.599999999999994</v>
      </c>
      <c r="BQ1353" t="s">
        <v>171</v>
      </c>
      <c r="BR1353" t="s">
        <v>97</v>
      </c>
      <c r="BS1353" s="3">
        <v>45944</v>
      </c>
      <c r="BT1353" s="4">
        <v>0.39097222222222222</v>
      </c>
      <c r="BU1353" t="s">
        <v>2132</v>
      </c>
      <c r="BV1353" t="s">
        <v>86</v>
      </c>
      <c r="BY1353">
        <v>1200</v>
      </c>
      <c r="CA1353">
        <v>9103165925085</v>
      </c>
      <c r="CC1353" t="s">
        <v>169</v>
      </c>
      <c r="CD1353" s="5" t="s">
        <v>173</v>
      </c>
      <c r="CE1353" t="s">
        <v>147</v>
      </c>
      <c r="CF1353" s="3">
        <v>45944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"080068488382"</f>
        <v>080068488382</v>
      </c>
      <c r="F1354" s="3">
        <v>45943</v>
      </c>
      <c r="G1354">
        <v>202607</v>
      </c>
      <c r="H1354" t="s">
        <v>79</v>
      </c>
      <c r="I1354" t="s">
        <v>80</v>
      </c>
      <c r="J1354" t="s">
        <v>91</v>
      </c>
      <c r="K1354" t="s">
        <v>78</v>
      </c>
      <c r="L1354" t="s">
        <v>121</v>
      </c>
      <c r="M1354" t="s">
        <v>122</v>
      </c>
      <c r="N1354" t="s">
        <v>159</v>
      </c>
      <c r="O1354" t="s">
        <v>82</v>
      </c>
      <c r="P1354" t="str">
        <f>"4170064028                    "</f>
        <v xml:space="preserve">4170064028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22.36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70.959999999999994</v>
      </c>
      <c r="BM1354">
        <v>10.64</v>
      </c>
      <c r="BN1354">
        <v>81.599999999999994</v>
      </c>
      <c r="BO1354">
        <v>81.599999999999994</v>
      </c>
      <c r="BQ1354" t="s">
        <v>160</v>
      </c>
      <c r="BR1354" t="s">
        <v>97</v>
      </c>
      <c r="BS1354" s="3">
        <v>45944</v>
      </c>
      <c r="BT1354" s="4">
        <v>0.40416666666666667</v>
      </c>
      <c r="BU1354" t="s">
        <v>2133</v>
      </c>
      <c r="BV1354" t="s">
        <v>86</v>
      </c>
      <c r="BY1354">
        <v>1200</v>
      </c>
      <c r="CA1354" t="s">
        <v>742</v>
      </c>
      <c r="CC1354" t="s">
        <v>122</v>
      </c>
      <c r="CD1354">
        <v>4000</v>
      </c>
      <c r="CE1354" t="s">
        <v>147</v>
      </c>
      <c r="CF1354" s="3">
        <v>45945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"080068488912"</f>
        <v>080068488912</v>
      </c>
      <c r="F1355" s="3">
        <v>45943</v>
      </c>
      <c r="G1355">
        <v>202607</v>
      </c>
      <c r="H1355" t="s">
        <v>79</v>
      </c>
      <c r="I1355" t="s">
        <v>80</v>
      </c>
      <c r="J1355" t="s">
        <v>91</v>
      </c>
      <c r="K1355" t="s">
        <v>78</v>
      </c>
      <c r="L1355" t="s">
        <v>271</v>
      </c>
      <c r="M1355" t="s">
        <v>272</v>
      </c>
      <c r="N1355" t="s">
        <v>1489</v>
      </c>
      <c r="O1355" t="s">
        <v>82</v>
      </c>
      <c r="P1355" t="str">
        <f>"4170063962                    "</f>
        <v xml:space="preserve">4170063962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17.46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55.42</v>
      </c>
      <c r="BM1355">
        <v>8.31</v>
      </c>
      <c r="BN1355">
        <v>63.73</v>
      </c>
      <c r="BO1355">
        <v>63.73</v>
      </c>
      <c r="BQ1355" t="s">
        <v>1490</v>
      </c>
      <c r="BR1355" t="s">
        <v>97</v>
      </c>
      <c r="BS1355" s="3">
        <v>45944</v>
      </c>
      <c r="BT1355" s="4">
        <v>0.3923611111111111</v>
      </c>
      <c r="BU1355" t="s">
        <v>2134</v>
      </c>
      <c r="BV1355" t="s">
        <v>86</v>
      </c>
      <c r="BY1355">
        <v>1200</v>
      </c>
      <c r="CA1355" t="s">
        <v>2135</v>
      </c>
      <c r="CC1355" t="s">
        <v>272</v>
      </c>
      <c r="CD1355">
        <v>1406</v>
      </c>
      <c r="CE1355" t="s">
        <v>147</v>
      </c>
      <c r="CF1355" s="3">
        <v>45945</v>
      </c>
      <c r="CI1355">
        <v>1</v>
      </c>
      <c r="CJ1355">
        <v>1</v>
      </c>
      <c r="CK1355">
        <v>22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"080068488928"</f>
        <v>080068488928</v>
      </c>
      <c r="F1356" s="3">
        <v>45943</v>
      </c>
      <c r="G1356">
        <v>202607</v>
      </c>
      <c r="H1356" t="s">
        <v>79</v>
      </c>
      <c r="I1356" t="s">
        <v>80</v>
      </c>
      <c r="J1356" t="s">
        <v>91</v>
      </c>
      <c r="K1356" t="s">
        <v>78</v>
      </c>
      <c r="L1356" t="s">
        <v>168</v>
      </c>
      <c r="M1356" t="s">
        <v>169</v>
      </c>
      <c r="N1356" t="s">
        <v>2136</v>
      </c>
      <c r="O1356" t="s">
        <v>82</v>
      </c>
      <c r="P1356" t="str">
        <f>"4170064078                    "</f>
        <v xml:space="preserve">4170064078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22.36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70.959999999999994</v>
      </c>
      <c r="BM1356">
        <v>10.64</v>
      </c>
      <c r="BN1356">
        <v>81.599999999999994</v>
      </c>
      <c r="BO1356">
        <v>81.599999999999994</v>
      </c>
      <c r="BQ1356" t="s">
        <v>2137</v>
      </c>
      <c r="BR1356" t="s">
        <v>97</v>
      </c>
      <c r="BS1356" s="3">
        <v>45944</v>
      </c>
      <c r="BT1356" s="4">
        <v>0.42222222222222222</v>
      </c>
      <c r="BU1356" t="s">
        <v>2138</v>
      </c>
      <c r="BV1356" t="s">
        <v>86</v>
      </c>
      <c r="BY1356">
        <v>1200</v>
      </c>
      <c r="CA1356">
        <v>8303236124087</v>
      </c>
      <c r="CC1356" t="s">
        <v>169</v>
      </c>
      <c r="CD1356" s="5" t="s">
        <v>190</v>
      </c>
      <c r="CE1356" t="s">
        <v>147</v>
      </c>
      <c r="CF1356" s="3">
        <v>45944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"080068488934"</f>
        <v>080068488934</v>
      </c>
      <c r="F1357" s="3">
        <v>45943</v>
      </c>
      <c r="G1357">
        <v>202607</v>
      </c>
      <c r="H1357" t="s">
        <v>79</v>
      </c>
      <c r="I1357" t="s">
        <v>80</v>
      </c>
      <c r="J1357" t="s">
        <v>91</v>
      </c>
      <c r="K1357" t="s">
        <v>78</v>
      </c>
      <c r="L1357" t="s">
        <v>121</v>
      </c>
      <c r="M1357" t="s">
        <v>122</v>
      </c>
      <c r="N1357" t="s">
        <v>159</v>
      </c>
      <c r="O1357" t="s">
        <v>95</v>
      </c>
      <c r="P1357" t="str">
        <f>"4170063995                    "</f>
        <v xml:space="preserve">4170063995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43.23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12</v>
      </c>
      <c r="BJ1357">
        <v>5.4</v>
      </c>
      <c r="BK1357">
        <v>12</v>
      </c>
      <c r="BL1357">
        <v>143.08000000000001</v>
      </c>
      <c r="BM1357">
        <v>21.46</v>
      </c>
      <c r="BN1357">
        <v>164.54</v>
      </c>
      <c r="BO1357">
        <v>164.54</v>
      </c>
      <c r="BQ1357" t="s">
        <v>160</v>
      </c>
      <c r="BR1357" t="s">
        <v>97</v>
      </c>
      <c r="BS1357" s="3">
        <v>45944</v>
      </c>
      <c r="BT1357" s="4">
        <v>0.40416666666666667</v>
      </c>
      <c r="BU1357" t="s">
        <v>2133</v>
      </c>
      <c r="BV1357" t="s">
        <v>86</v>
      </c>
      <c r="BY1357">
        <v>27144</v>
      </c>
      <c r="CA1357" t="s">
        <v>742</v>
      </c>
      <c r="CC1357" t="s">
        <v>122</v>
      </c>
      <c r="CD1357">
        <v>4000</v>
      </c>
      <c r="CE1357" t="s">
        <v>2139</v>
      </c>
      <c r="CF1357" s="3">
        <v>45945</v>
      </c>
      <c r="CI1357">
        <v>1</v>
      </c>
      <c r="CJ1357">
        <v>1</v>
      </c>
      <c r="CK1357">
        <v>41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"080068488938"</f>
        <v>080068488938</v>
      </c>
      <c r="F1358" s="3">
        <v>45943</v>
      </c>
      <c r="G1358">
        <v>202607</v>
      </c>
      <c r="H1358" t="s">
        <v>79</v>
      </c>
      <c r="I1358" t="s">
        <v>80</v>
      </c>
      <c r="J1358" t="s">
        <v>91</v>
      </c>
      <c r="K1358" t="s">
        <v>78</v>
      </c>
      <c r="L1358" t="s">
        <v>114</v>
      </c>
      <c r="M1358" t="s">
        <v>115</v>
      </c>
      <c r="N1358" t="s">
        <v>881</v>
      </c>
      <c r="O1358" t="s">
        <v>82</v>
      </c>
      <c r="P1358" t="str">
        <f>"4170064003                    "</f>
        <v xml:space="preserve">4170064003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22.36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70.959999999999994</v>
      </c>
      <c r="BM1358">
        <v>10.64</v>
      </c>
      <c r="BN1358">
        <v>81.599999999999994</v>
      </c>
      <c r="BO1358">
        <v>81.599999999999994</v>
      </c>
      <c r="BQ1358" t="s">
        <v>882</v>
      </c>
      <c r="BR1358" t="s">
        <v>97</v>
      </c>
      <c r="BS1358" s="3">
        <v>45944</v>
      </c>
      <c r="BT1358" s="4">
        <v>0.51111111111111107</v>
      </c>
      <c r="BU1358" t="s">
        <v>1293</v>
      </c>
      <c r="BV1358" t="s">
        <v>90</v>
      </c>
      <c r="BY1358">
        <v>1200</v>
      </c>
      <c r="CA1358" t="s">
        <v>749</v>
      </c>
      <c r="CC1358" t="s">
        <v>115</v>
      </c>
      <c r="CD1358">
        <v>5201</v>
      </c>
      <c r="CE1358" t="s">
        <v>147</v>
      </c>
      <c r="CF1358" s="3">
        <v>45945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"080068488958"</f>
        <v>080068488958</v>
      </c>
      <c r="F1359" s="3">
        <v>45943</v>
      </c>
      <c r="G1359">
        <v>202607</v>
      </c>
      <c r="H1359" t="s">
        <v>79</v>
      </c>
      <c r="I1359" t="s">
        <v>80</v>
      </c>
      <c r="J1359" t="s">
        <v>91</v>
      </c>
      <c r="K1359" t="s">
        <v>78</v>
      </c>
      <c r="L1359" t="s">
        <v>114</v>
      </c>
      <c r="M1359" t="s">
        <v>115</v>
      </c>
      <c r="N1359" t="s">
        <v>881</v>
      </c>
      <c r="O1359" t="s">
        <v>82</v>
      </c>
      <c r="P1359" t="str">
        <f>"4170064025                    "</f>
        <v xml:space="preserve">4170064025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100.54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8.9</v>
      </c>
      <c r="BK1359">
        <v>9</v>
      </c>
      <c r="BL1359">
        <v>319.10000000000002</v>
      </c>
      <c r="BM1359">
        <v>47.87</v>
      </c>
      <c r="BN1359">
        <v>366.97</v>
      </c>
      <c r="BO1359">
        <v>366.97</v>
      </c>
      <c r="BQ1359" t="s">
        <v>882</v>
      </c>
      <c r="BR1359" t="s">
        <v>97</v>
      </c>
      <c r="BS1359" s="3">
        <v>45944</v>
      </c>
      <c r="BT1359" s="4">
        <v>0.51180555555555551</v>
      </c>
      <c r="BU1359" t="s">
        <v>1293</v>
      </c>
      <c r="BV1359" t="s">
        <v>90</v>
      </c>
      <c r="BY1359">
        <v>44640</v>
      </c>
      <c r="CA1359" t="s">
        <v>749</v>
      </c>
      <c r="CC1359" t="s">
        <v>115</v>
      </c>
      <c r="CD1359">
        <v>5201</v>
      </c>
      <c r="CE1359" t="s">
        <v>191</v>
      </c>
      <c r="CF1359" s="3">
        <v>45945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"080068488959"</f>
        <v>080068488959</v>
      </c>
      <c r="F1360" s="3">
        <v>45943</v>
      </c>
      <c r="G1360">
        <v>202607</v>
      </c>
      <c r="H1360" t="s">
        <v>79</v>
      </c>
      <c r="I1360" t="s">
        <v>80</v>
      </c>
      <c r="J1360" t="s">
        <v>91</v>
      </c>
      <c r="K1360" t="s">
        <v>78</v>
      </c>
      <c r="L1360" t="s">
        <v>121</v>
      </c>
      <c r="M1360" t="s">
        <v>122</v>
      </c>
      <c r="N1360" t="s">
        <v>133</v>
      </c>
      <c r="O1360" t="s">
        <v>82</v>
      </c>
      <c r="P1360" t="str">
        <f>"4170064016                    "</f>
        <v xml:space="preserve">4170064016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22.36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70.959999999999994</v>
      </c>
      <c r="BM1360">
        <v>10.64</v>
      </c>
      <c r="BN1360">
        <v>81.599999999999994</v>
      </c>
      <c r="BO1360">
        <v>81.599999999999994</v>
      </c>
      <c r="BQ1360" t="s">
        <v>134</v>
      </c>
      <c r="BR1360" t="s">
        <v>97</v>
      </c>
      <c r="BS1360" s="3">
        <v>45944</v>
      </c>
      <c r="BT1360" s="4">
        <v>0.40277777777777779</v>
      </c>
      <c r="BU1360" t="s">
        <v>1997</v>
      </c>
      <c r="BV1360" t="s">
        <v>86</v>
      </c>
      <c r="BY1360">
        <v>1200</v>
      </c>
      <c r="CA1360" t="s">
        <v>742</v>
      </c>
      <c r="CC1360" t="s">
        <v>122</v>
      </c>
      <c r="CD1360">
        <v>4001</v>
      </c>
      <c r="CE1360" t="s">
        <v>147</v>
      </c>
      <c r="CF1360" s="3">
        <v>45945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"080068488976"</f>
        <v>080068488976</v>
      </c>
      <c r="F1361" s="3">
        <v>45943</v>
      </c>
      <c r="G1361">
        <v>202607</v>
      </c>
      <c r="H1361" t="s">
        <v>79</v>
      </c>
      <c r="I1361" t="s">
        <v>80</v>
      </c>
      <c r="J1361" t="s">
        <v>91</v>
      </c>
      <c r="K1361" t="s">
        <v>78</v>
      </c>
      <c r="L1361" t="s">
        <v>233</v>
      </c>
      <c r="M1361" t="s">
        <v>234</v>
      </c>
      <c r="N1361" t="s">
        <v>908</v>
      </c>
      <c r="O1361" t="s">
        <v>82</v>
      </c>
      <c r="P1361" t="str">
        <f>"4170064036                    "</f>
        <v xml:space="preserve">4170064036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22.36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70.959999999999994</v>
      </c>
      <c r="BM1361">
        <v>10.64</v>
      </c>
      <c r="BN1361">
        <v>81.599999999999994</v>
      </c>
      <c r="BO1361">
        <v>81.599999999999994</v>
      </c>
      <c r="BQ1361" t="s">
        <v>909</v>
      </c>
      <c r="BR1361" t="s">
        <v>97</v>
      </c>
      <c r="BS1361" s="3">
        <v>45944</v>
      </c>
      <c r="BT1361" s="4">
        <v>0.36736111111111114</v>
      </c>
      <c r="BU1361" t="s">
        <v>2128</v>
      </c>
      <c r="BV1361" t="s">
        <v>86</v>
      </c>
      <c r="BY1361">
        <v>1200</v>
      </c>
      <c r="CA1361">
        <v>7712195338085</v>
      </c>
      <c r="CC1361" t="s">
        <v>234</v>
      </c>
      <c r="CD1361" s="5" t="s">
        <v>238</v>
      </c>
      <c r="CE1361" t="s">
        <v>147</v>
      </c>
      <c r="CF1361" s="3">
        <v>45944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"080068488978"</f>
        <v>080068488978</v>
      </c>
      <c r="F1362" s="3">
        <v>45943</v>
      </c>
      <c r="G1362">
        <v>202607</v>
      </c>
      <c r="H1362" t="s">
        <v>79</v>
      </c>
      <c r="I1362" t="s">
        <v>80</v>
      </c>
      <c r="J1362" t="s">
        <v>91</v>
      </c>
      <c r="K1362" t="s">
        <v>78</v>
      </c>
      <c r="L1362" t="s">
        <v>218</v>
      </c>
      <c r="M1362" t="s">
        <v>219</v>
      </c>
      <c r="N1362" t="s">
        <v>2140</v>
      </c>
      <c r="O1362" t="s">
        <v>82</v>
      </c>
      <c r="P1362" t="str">
        <f>"4170064073                    "</f>
        <v xml:space="preserve">4170064073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17.46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1.3</v>
      </c>
      <c r="BJ1362">
        <v>2.2999999999999998</v>
      </c>
      <c r="BK1362">
        <v>3</v>
      </c>
      <c r="BL1362">
        <v>55.42</v>
      </c>
      <c r="BM1362">
        <v>8.31</v>
      </c>
      <c r="BN1362">
        <v>63.73</v>
      </c>
      <c r="BO1362">
        <v>63.73</v>
      </c>
      <c r="BQ1362" t="s">
        <v>2141</v>
      </c>
      <c r="BR1362" t="s">
        <v>97</v>
      </c>
      <c r="BS1362" s="3">
        <v>45944</v>
      </c>
      <c r="BT1362" s="4">
        <v>0.38263888888888886</v>
      </c>
      <c r="BU1362" t="s">
        <v>2142</v>
      </c>
      <c r="BV1362" t="s">
        <v>86</v>
      </c>
      <c r="BY1362">
        <v>11455.29</v>
      </c>
      <c r="CA1362" t="s">
        <v>1434</v>
      </c>
      <c r="CC1362" t="s">
        <v>219</v>
      </c>
      <c r="CD1362">
        <v>1559</v>
      </c>
      <c r="CE1362" t="s">
        <v>191</v>
      </c>
      <c r="CF1362" s="3">
        <v>45944</v>
      </c>
      <c r="CI1362">
        <v>1</v>
      </c>
      <c r="CJ1362">
        <v>1</v>
      </c>
      <c r="CK1362">
        <v>22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"080068488992"</f>
        <v>080068488992</v>
      </c>
      <c r="F1363" s="3">
        <v>45943</v>
      </c>
      <c r="G1363">
        <v>202607</v>
      </c>
      <c r="H1363" t="s">
        <v>79</v>
      </c>
      <c r="I1363" t="s">
        <v>80</v>
      </c>
      <c r="J1363" t="s">
        <v>91</v>
      </c>
      <c r="K1363" t="s">
        <v>78</v>
      </c>
      <c r="L1363" t="s">
        <v>168</v>
      </c>
      <c r="M1363" t="s">
        <v>169</v>
      </c>
      <c r="N1363" t="s">
        <v>335</v>
      </c>
      <c r="O1363" t="s">
        <v>82</v>
      </c>
      <c r="P1363" t="str">
        <f>"4170064067                    "</f>
        <v xml:space="preserve">4170064067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22.36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70.959999999999994</v>
      </c>
      <c r="BM1363">
        <v>10.64</v>
      </c>
      <c r="BN1363">
        <v>81.599999999999994</v>
      </c>
      <c r="BO1363">
        <v>81.599999999999994</v>
      </c>
      <c r="BQ1363" t="s">
        <v>475</v>
      </c>
      <c r="BR1363" t="s">
        <v>97</v>
      </c>
      <c r="BS1363" s="3">
        <v>45944</v>
      </c>
      <c r="BT1363" s="4">
        <v>0.43819444444444444</v>
      </c>
      <c r="BU1363" t="s">
        <v>897</v>
      </c>
      <c r="BV1363" t="s">
        <v>90</v>
      </c>
      <c r="BW1363" t="s">
        <v>188</v>
      </c>
      <c r="BX1363" t="s">
        <v>189</v>
      </c>
      <c r="BY1363">
        <v>1200</v>
      </c>
      <c r="CA1363">
        <v>8303236124087</v>
      </c>
      <c r="CC1363" t="s">
        <v>169</v>
      </c>
      <c r="CD1363" s="5" t="s">
        <v>190</v>
      </c>
      <c r="CE1363" t="s">
        <v>147</v>
      </c>
      <c r="CF1363" s="3">
        <v>45944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"080068488999"</f>
        <v>080068488999</v>
      </c>
      <c r="F1364" s="3">
        <v>45943</v>
      </c>
      <c r="G1364">
        <v>202607</v>
      </c>
      <c r="H1364" t="s">
        <v>79</v>
      </c>
      <c r="I1364" t="s">
        <v>80</v>
      </c>
      <c r="J1364" t="s">
        <v>91</v>
      </c>
      <c r="K1364" t="s">
        <v>78</v>
      </c>
      <c r="L1364" t="s">
        <v>223</v>
      </c>
      <c r="M1364" t="s">
        <v>224</v>
      </c>
      <c r="N1364" t="s">
        <v>225</v>
      </c>
      <c r="O1364" t="s">
        <v>82</v>
      </c>
      <c r="P1364" t="str">
        <f>"4170064049                    "</f>
        <v xml:space="preserve">4170064049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17.46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1.2</v>
      </c>
      <c r="BK1364">
        <v>2</v>
      </c>
      <c r="BL1364">
        <v>55.42</v>
      </c>
      <c r="BM1364">
        <v>8.31</v>
      </c>
      <c r="BN1364">
        <v>63.73</v>
      </c>
      <c r="BO1364">
        <v>63.73</v>
      </c>
      <c r="BQ1364" t="s">
        <v>227</v>
      </c>
      <c r="BR1364" t="s">
        <v>97</v>
      </c>
      <c r="BS1364" s="3">
        <v>45944</v>
      </c>
      <c r="BT1364" s="4">
        <v>0.33333333333333331</v>
      </c>
      <c r="BU1364" t="s">
        <v>888</v>
      </c>
      <c r="BV1364" t="s">
        <v>86</v>
      </c>
      <c r="BY1364">
        <v>5800</v>
      </c>
      <c r="CA1364" t="s">
        <v>508</v>
      </c>
      <c r="CC1364" t="s">
        <v>224</v>
      </c>
      <c r="CD1364">
        <v>1459</v>
      </c>
      <c r="CE1364" t="s">
        <v>191</v>
      </c>
      <c r="CF1364" s="3">
        <v>45945</v>
      </c>
      <c r="CI1364">
        <v>1</v>
      </c>
      <c r="CJ1364">
        <v>1</v>
      </c>
      <c r="CK1364">
        <v>22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"080068489021"</f>
        <v>080068489021</v>
      </c>
      <c r="F1365" s="3">
        <v>45943</v>
      </c>
      <c r="G1365">
        <v>202607</v>
      </c>
      <c r="H1365" t="s">
        <v>79</v>
      </c>
      <c r="I1365" t="s">
        <v>80</v>
      </c>
      <c r="J1365" t="s">
        <v>91</v>
      </c>
      <c r="K1365" t="s">
        <v>78</v>
      </c>
      <c r="L1365" t="s">
        <v>79</v>
      </c>
      <c r="M1365" t="s">
        <v>80</v>
      </c>
      <c r="N1365" t="s">
        <v>357</v>
      </c>
      <c r="O1365" t="s">
        <v>82</v>
      </c>
      <c r="P1365" t="str">
        <f>"4170064070                    "</f>
        <v xml:space="preserve">4170064070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17.46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1.1000000000000001</v>
      </c>
      <c r="BK1365">
        <v>2</v>
      </c>
      <c r="BL1365">
        <v>55.42</v>
      </c>
      <c r="BM1365">
        <v>8.31</v>
      </c>
      <c r="BN1365">
        <v>63.73</v>
      </c>
      <c r="BO1365">
        <v>63.73</v>
      </c>
      <c r="BQ1365" t="s">
        <v>358</v>
      </c>
      <c r="BR1365" t="s">
        <v>97</v>
      </c>
      <c r="BS1365" s="3">
        <v>45944</v>
      </c>
      <c r="BT1365" s="4">
        <v>0.4375</v>
      </c>
      <c r="BU1365" t="s">
        <v>1423</v>
      </c>
      <c r="BV1365" t="s">
        <v>86</v>
      </c>
      <c r="BY1365">
        <v>5510</v>
      </c>
      <c r="CC1365" t="s">
        <v>80</v>
      </c>
      <c r="CD1365">
        <v>1645</v>
      </c>
      <c r="CE1365" t="s">
        <v>191</v>
      </c>
      <c r="CF1365" s="3">
        <v>45945</v>
      </c>
      <c r="CI1365">
        <v>1</v>
      </c>
      <c r="CJ1365">
        <v>1</v>
      </c>
      <c r="CK1365">
        <v>22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"R080068396971"</f>
        <v>R080068396971</v>
      </c>
      <c r="F1366" s="3">
        <v>45943</v>
      </c>
      <c r="G1366">
        <v>202607</v>
      </c>
      <c r="H1366" t="s">
        <v>206</v>
      </c>
      <c r="I1366" t="s">
        <v>207</v>
      </c>
      <c r="J1366" t="s">
        <v>1129</v>
      </c>
      <c r="K1366" t="s">
        <v>78</v>
      </c>
      <c r="L1366" t="s">
        <v>148</v>
      </c>
      <c r="M1366" t="s">
        <v>149</v>
      </c>
      <c r="N1366" t="s">
        <v>2143</v>
      </c>
      <c r="O1366" t="s">
        <v>82</v>
      </c>
      <c r="P1366" t="str">
        <f>"4170063498                    "</f>
        <v xml:space="preserve">4170063498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22.36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0.6</v>
      </c>
      <c r="BJ1366">
        <v>1.4</v>
      </c>
      <c r="BK1366">
        <v>1.5</v>
      </c>
      <c r="BL1366">
        <v>70.959999999999994</v>
      </c>
      <c r="BM1366">
        <v>10.64</v>
      </c>
      <c r="BN1366">
        <v>81.599999999999994</v>
      </c>
      <c r="BO1366">
        <v>81.599999999999994</v>
      </c>
      <c r="BQ1366" t="s">
        <v>2144</v>
      </c>
      <c r="BR1366" t="s">
        <v>1130</v>
      </c>
      <c r="BS1366" s="3">
        <v>45944</v>
      </c>
      <c r="BT1366" s="4">
        <v>0.36736111111111114</v>
      </c>
      <c r="BU1366" t="s">
        <v>2145</v>
      </c>
      <c r="BV1366" t="s">
        <v>86</v>
      </c>
      <c r="BY1366">
        <v>7014.21</v>
      </c>
      <c r="CA1366" t="s">
        <v>1321</v>
      </c>
      <c r="CC1366" t="s">
        <v>149</v>
      </c>
      <c r="CD1366">
        <v>2000</v>
      </c>
      <c r="CE1366" t="s">
        <v>191</v>
      </c>
      <c r="CF1366" s="3">
        <v>45945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"080068489168"</f>
        <v>080068489168</v>
      </c>
      <c r="F1367" s="3">
        <v>45943</v>
      </c>
      <c r="G1367">
        <v>202607</v>
      </c>
      <c r="H1367" t="s">
        <v>79</v>
      </c>
      <c r="I1367" t="s">
        <v>80</v>
      </c>
      <c r="J1367" t="s">
        <v>91</v>
      </c>
      <c r="K1367" t="s">
        <v>78</v>
      </c>
      <c r="L1367" t="s">
        <v>453</v>
      </c>
      <c r="M1367" t="s">
        <v>454</v>
      </c>
      <c r="N1367" t="s">
        <v>845</v>
      </c>
      <c r="O1367" t="s">
        <v>82</v>
      </c>
      <c r="P1367" t="str">
        <f>"4170064077                    "</f>
        <v xml:space="preserve">4170064077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22.36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1.1000000000000001</v>
      </c>
      <c r="BK1367">
        <v>1.5</v>
      </c>
      <c r="BL1367">
        <v>70.959999999999994</v>
      </c>
      <c r="BM1367">
        <v>10.64</v>
      </c>
      <c r="BN1367">
        <v>81.599999999999994</v>
      </c>
      <c r="BO1367">
        <v>81.599999999999994</v>
      </c>
      <c r="BQ1367" t="s">
        <v>846</v>
      </c>
      <c r="BR1367" t="s">
        <v>97</v>
      </c>
      <c r="BS1367" s="3">
        <v>45944</v>
      </c>
      <c r="BT1367" s="4">
        <v>0.3972222222222222</v>
      </c>
      <c r="BU1367" t="s">
        <v>2146</v>
      </c>
      <c r="BV1367" t="s">
        <v>86</v>
      </c>
      <c r="BY1367">
        <v>5510</v>
      </c>
      <c r="CA1367" t="s">
        <v>457</v>
      </c>
      <c r="CC1367" t="s">
        <v>454</v>
      </c>
      <c r="CD1367">
        <v>3610</v>
      </c>
      <c r="CE1367" t="s">
        <v>191</v>
      </c>
      <c r="CF1367" s="3">
        <v>45945</v>
      </c>
      <c r="CI1367">
        <v>1</v>
      </c>
      <c r="CJ1367">
        <v>1</v>
      </c>
      <c r="CK1367">
        <v>21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"080068489179"</f>
        <v>080068489179</v>
      </c>
      <c r="F1368" s="3">
        <v>45943</v>
      </c>
      <c r="G1368">
        <v>202607</v>
      </c>
      <c r="H1368" t="s">
        <v>79</v>
      </c>
      <c r="I1368" t="s">
        <v>80</v>
      </c>
      <c r="J1368" t="s">
        <v>91</v>
      </c>
      <c r="K1368" t="s">
        <v>78</v>
      </c>
      <c r="L1368" t="s">
        <v>322</v>
      </c>
      <c r="M1368" t="s">
        <v>322</v>
      </c>
      <c r="N1368" t="s">
        <v>483</v>
      </c>
      <c r="O1368" t="s">
        <v>82</v>
      </c>
      <c r="P1368" t="str">
        <f>"4170064029                    "</f>
        <v xml:space="preserve">4170064029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238.91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12</v>
      </c>
      <c r="BJ1368">
        <v>5.2</v>
      </c>
      <c r="BK1368">
        <v>12</v>
      </c>
      <c r="BL1368">
        <v>758.27</v>
      </c>
      <c r="BM1368">
        <v>113.74</v>
      </c>
      <c r="BN1368">
        <v>872.01</v>
      </c>
      <c r="BO1368">
        <v>872.01</v>
      </c>
      <c r="BQ1368" t="s">
        <v>486</v>
      </c>
      <c r="BR1368" t="s">
        <v>97</v>
      </c>
      <c r="BS1368" s="3">
        <v>45944</v>
      </c>
      <c r="BT1368" s="4">
        <v>0.52638888888888891</v>
      </c>
      <c r="BU1368" t="s">
        <v>485</v>
      </c>
      <c r="BV1368" t="s">
        <v>86</v>
      </c>
      <c r="BY1368">
        <v>26013</v>
      </c>
      <c r="CA1368" t="s">
        <v>326</v>
      </c>
      <c r="CC1368" t="s">
        <v>322</v>
      </c>
      <c r="CD1368">
        <v>7646</v>
      </c>
      <c r="CE1368" t="s">
        <v>191</v>
      </c>
      <c r="CF1368" s="3">
        <v>45945</v>
      </c>
      <c r="CI1368">
        <v>1</v>
      </c>
      <c r="CJ1368">
        <v>1</v>
      </c>
      <c r="CK1368">
        <v>23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"080068489194"</f>
        <v>080068489194</v>
      </c>
      <c r="F1369" s="3">
        <v>45943</v>
      </c>
      <c r="G1369">
        <v>202607</v>
      </c>
      <c r="H1369" t="s">
        <v>79</v>
      </c>
      <c r="I1369" t="s">
        <v>80</v>
      </c>
      <c r="J1369" t="s">
        <v>91</v>
      </c>
      <c r="K1369" t="s">
        <v>78</v>
      </c>
      <c r="L1369" t="s">
        <v>114</v>
      </c>
      <c r="M1369" t="s">
        <v>115</v>
      </c>
      <c r="N1369" t="s">
        <v>1235</v>
      </c>
      <c r="O1369" t="s">
        <v>82</v>
      </c>
      <c r="P1369" t="str">
        <f>"4170063981                    "</f>
        <v xml:space="preserve">4170063981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89.37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8</v>
      </c>
      <c r="BJ1369">
        <v>3.4</v>
      </c>
      <c r="BK1369">
        <v>8</v>
      </c>
      <c r="BL1369">
        <v>283.64999999999998</v>
      </c>
      <c r="BM1369">
        <v>42.55</v>
      </c>
      <c r="BN1369">
        <v>326.2</v>
      </c>
      <c r="BO1369">
        <v>326.2</v>
      </c>
      <c r="BQ1369" t="s">
        <v>1236</v>
      </c>
      <c r="BR1369" t="s">
        <v>97</v>
      </c>
      <c r="BS1369" s="3">
        <v>45944</v>
      </c>
      <c r="BT1369" s="4">
        <v>0.53472222222222221</v>
      </c>
      <c r="BU1369" t="s">
        <v>2147</v>
      </c>
      <c r="BV1369" t="s">
        <v>90</v>
      </c>
      <c r="BY1369">
        <v>16965</v>
      </c>
      <c r="CA1369" t="s">
        <v>1017</v>
      </c>
      <c r="CC1369" t="s">
        <v>115</v>
      </c>
      <c r="CD1369">
        <v>5201</v>
      </c>
      <c r="CE1369" t="s">
        <v>191</v>
      </c>
      <c r="CF1369" s="3">
        <v>45945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"080068489211"</f>
        <v>080068489211</v>
      </c>
      <c r="F1370" s="3">
        <v>45943</v>
      </c>
      <c r="G1370">
        <v>202607</v>
      </c>
      <c r="H1370" t="s">
        <v>79</v>
      </c>
      <c r="I1370" t="s">
        <v>80</v>
      </c>
      <c r="J1370" t="s">
        <v>91</v>
      </c>
      <c r="K1370" t="s">
        <v>78</v>
      </c>
      <c r="L1370" t="s">
        <v>108</v>
      </c>
      <c r="M1370" t="s">
        <v>109</v>
      </c>
      <c r="N1370" t="s">
        <v>229</v>
      </c>
      <c r="O1370" t="s">
        <v>95</v>
      </c>
      <c r="P1370" t="str">
        <f>"4170064048                    "</f>
        <v xml:space="preserve">4170064048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82.5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2</v>
      </c>
      <c r="BI1370">
        <v>20</v>
      </c>
      <c r="BJ1370">
        <v>36.5</v>
      </c>
      <c r="BK1370">
        <v>37</v>
      </c>
      <c r="BL1370">
        <v>267.70999999999998</v>
      </c>
      <c r="BM1370">
        <v>40.159999999999997</v>
      </c>
      <c r="BN1370">
        <v>307.87</v>
      </c>
      <c r="BO1370">
        <v>307.87</v>
      </c>
      <c r="BQ1370" t="s">
        <v>230</v>
      </c>
      <c r="BR1370" t="s">
        <v>97</v>
      </c>
      <c r="BS1370" s="3">
        <v>45945</v>
      </c>
      <c r="BT1370" s="4">
        <v>0.38124999999999998</v>
      </c>
      <c r="BU1370" t="s">
        <v>1158</v>
      </c>
      <c r="BV1370" t="s">
        <v>86</v>
      </c>
      <c r="BY1370">
        <v>91264</v>
      </c>
      <c r="CA1370" t="s">
        <v>1145</v>
      </c>
      <c r="CC1370" t="s">
        <v>109</v>
      </c>
      <c r="CD1370">
        <v>6001</v>
      </c>
      <c r="CE1370" t="s">
        <v>191</v>
      </c>
      <c r="CF1370" s="3">
        <v>45945</v>
      </c>
      <c r="CI1370">
        <v>3</v>
      </c>
      <c r="CJ1370">
        <v>2</v>
      </c>
      <c r="CK1370">
        <v>41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"080068489218"</f>
        <v>080068489218</v>
      </c>
      <c r="F1371" s="3">
        <v>45943</v>
      </c>
      <c r="G1371">
        <v>202607</v>
      </c>
      <c r="H1371" t="s">
        <v>79</v>
      </c>
      <c r="I1371" t="s">
        <v>80</v>
      </c>
      <c r="J1371" t="s">
        <v>91</v>
      </c>
      <c r="K1371" t="s">
        <v>78</v>
      </c>
      <c r="L1371" t="s">
        <v>92</v>
      </c>
      <c r="M1371" t="s">
        <v>93</v>
      </c>
      <c r="N1371" t="s">
        <v>143</v>
      </c>
      <c r="O1371" t="s">
        <v>82</v>
      </c>
      <c r="P1371" t="str">
        <f>"4170064006                    "</f>
        <v xml:space="preserve">4170064006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33.520000000000003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3</v>
      </c>
      <c r="BJ1371">
        <v>1.1000000000000001</v>
      </c>
      <c r="BK1371">
        <v>3</v>
      </c>
      <c r="BL1371">
        <v>106.4</v>
      </c>
      <c r="BM1371">
        <v>15.96</v>
      </c>
      <c r="BN1371">
        <v>122.36</v>
      </c>
      <c r="BO1371">
        <v>122.36</v>
      </c>
      <c r="BQ1371" t="s">
        <v>144</v>
      </c>
      <c r="BR1371" t="s">
        <v>97</v>
      </c>
      <c r="BS1371" s="3">
        <v>45944</v>
      </c>
      <c r="BT1371" s="4">
        <v>0.42708333333333331</v>
      </c>
      <c r="BU1371" t="s">
        <v>1903</v>
      </c>
      <c r="BV1371" t="s">
        <v>86</v>
      </c>
      <c r="BY1371">
        <v>5510</v>
      </c>
      <c r="CA1371" t="s">
        <v>100</v>
      </c>
      <c r="CC1371" t="s">
        <v>93</v>
      </c>
      <c r="CD1371">
        <v>3200</v>
      </c>
      <c r="CE1371" t="s">
        <v>191</v>
      </c>
      <c r="CF1371" s="3">
        <v>45945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"080068489239"</f>
        <v>080068489239</v>
      </c>
      <c r="F1372" s="3">
        <v>45943</v>
      </c>
      <c r="G1372">
        <v>202607</v>
      </c>
      <c r="H1372" t="s">
        <v>79</v>
      </c>
      <c r="I1372" t="s">
        <v>80</v>
      </c>
      <c r="J1372" t="s">
        <v>91</v>
      </c>
      <c r="K1372" t="s">
        <v>78</v>
      </c>
      <c r="L1372" t="s">
        <v>92</v>
      </c>
      <c r="M1372" t="s">
        <v>93</v>
      </c>
      <c r="N1372" t="s">
        <v>1179</v>
      </c>
      <c r="O1372" t="s">
        <v>82</v>
      </c>
      <c r="P1372" t="str">
        <f>"4170063998                    "</f>
        <v xml:space="preserve">4170063998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22.36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16.739999999999998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1.1000000000000001</v>
      </c>
      <c r="BK1372">
        <v>1.5</v>
      </c>
      <c r="BL1372">
        <v>87.7</v>
      </c>
      <c r="BM1372">
        <v>13.16</v>
      </c>
      <c r="BN1372">
        <v>100.86</v>
      </c>
      <c r="BO1372">
        <v>100.86</v>
      </c>
      <c r="BQ1372" t="s">
        <v>1180</v>
      </c>
      <c r="BR1372" t="s">
        <v>97</v>
      </c>
      <c r="BS1372" s="3">
        <v>45944</v>
      </c>
      <c r="BT1372" s="4">
        <v>0.4236111111111111</v>
      </c>
      <c r="BU1372" t="s">
        <v>2148</v>
      </c>
      <c r="BV1372" t="s">
        <v>86</v>
      </c>
      <c r="BY1372">
        <v>5510</v>
      </c>
      <c r="BZ1372" t="s">
        <v>30</v>
      </c>
      <c r="CA1372" t="s">
        <v>1699</v>
      </c>
      <c r="CC1372" t="s">
        <v>93</v>
      </c>
      <c r="CD1372">
        <v>3699</v>
      </c>
      <c r="CE1372" t="s">
        <v>191</v>
      </c>
      <c r="CF1372" s="3">
        <v>45945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"080068489286"</f>
        <v>080068489286</v>
      </c>
      <c r="F1373" s="3">
        <v>45943</v>
      </c>
      <c r="G1373">
        <v>202607</v>
      </c>
      <c r="H1373" t="s">
        <v>79</v>
      </c>
      <c r="I1373" t="s">
        <v>80</v>
      </c>
      <c r="J1373" t="s">
        <v>91</v>
      </c>
      <c r="K1373" t="s">
        <v>78</v>
      </c>
      <c r="L1373" t="s">
        <v>542</v>
      </c>
      <c r="M1373" t="s">
        <v>543</v>
      </c>
      <c r="N1373" t="s">
        <v>2149</v>
      </c>
      <c r="O1373" t="s">
        <v>82</v>
      </c>
      <c r="P1373" t="str">
        <f>"4170064007                    "</f>
        <v xml:space="preserve">4170064007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17.46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55.42</v>
      </c>
      <c r="BM1373">
        <v>8.31</v>
      </c>
      <c r="BN1373">
        <v>63.73</v>
      </c>
      <c r="BO1373">
        <v>63.73</v>
      </c>
      <c r="BQ1373" t="s">
        <v>2150</v>
      </c>
      <c r="BR1373" t="s">
        <v>97</v>
      </c>
      <c r="BS1373" s="3">
        <v>45944</v>
      </c>
      <c r="BT1373" s="4">
        <v>0.38333333333333336</v>
      </c>
      <c r="BU1373" t="s">
        <v>2151</v>
      </c>
      <c r="BV1373" t="s">
        <v>86</v>
      </c>
      <c r="BY1373">
        <v>1200</v>
      </c>
      <c r="CA1373" t="s">
        <v>1135</v>
      </c>
      <c r="CC1373" t="s">
        <v>543</v>
      </c>
      <c r="CD1373">
        <v>1682</v>
      </c>
      <c r="CE1373" t="s">
        <v>147</v>
      </c>
      <c r="CF1373" s="3">
        <v>45945</v>
      </c>
      <c r="CI1373">
        <v>1</v>
      </c>
      <c r="CJ1373">
        <v>1</v>
      </c>
      <c r="CK1373">
        <v>22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"080068489432"</f>
        <v>080068489432</v>
      </c>
      <c r="F1374" s="3">
        <v>45943</v>
      </c>
      <c r="G1374">
        <v>202607</v>
      </c>
      <c r="H1374" t="s">
        <v>79</v>
      </c>
      <c r="I1374" t="s">
        <v>80</v>
      </c>
      <c r="J1374" t="s">
        <v>91</v>
      </c>
      <c r="K1374" t="s">
        <v>78</v>
      </c>
      <c r="L1374" t="s">
        <v>108</v>
      </c>
      <c r="M1374" t="s">
        <v>109</v>
      </c>
      <c r="N1374" t="s">
        <v>751</v>
      </c>
      <c r="O1374" t="s">
        <v>82</v>
      </c>
      <c r="P1374" t="str">
        <f>"4170064081                    "</f>
        <v xml:space="preserve">4170064081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39.11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</v>
      </c>
      <c r="BJ1374">
        <v>3.2</v>
      </c>
      <c r="BK1374">
        <v>3.5</v>
      </c>
      <c r="BL1374">
        <v>124.13</v>
      </c>
      <c r="BM1374">
        <v>18.62</v>
      </c>
      <c r="BN1374">
        <v>142.75</v>
      </c>
      <c r="BO1374">
        <v>142.75</v>
      </c>
      <c r="BQ1374" t="s">
        <v>752</v>
      </c>
      <c r="BR1374" t="s">
        <v>97</v>
      </c>
      <c r="BS1374" s="3">
        <v>45944</v>
      </c>
      <c r="BT1374" s="4">
        <v>0.35625000000000001</v>
      </c>
      <c r="BU1374" t="s">
        <v>2152</v>
      </c>
      <c r="BV1374" t="s">
        <v>86</v>
      </c>
      <c r="BY1374">
        <v>16184</v>
      </c>
      <c r="CA1374" t="s">
        <v>1090</v>
      </c>
      <c r="CC1374" t="s">
        <v>109</v>
      </c>
      <c r="CD1374">
        <v>6001</v>
      </c>
      <c r="CE1374" t="s">
        <v>191</v>
      </c>
      <c r="CF1374" s="3">
        <v>45944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"080068489484"</f>
        <v>080068489484</v>
      </c>
      <c r="F1375" s="3">
        <v>45943</v>
      </c>
      <c r="G1375">
        <v>202607</v>
      </c>
      <c r="H1375" t="s">
        <v>79</v>
      </c>
      <c r="I1375" t="s">
        <v>80</v>
      </c>
      <c r="J1375" t="s">
        <v>91</v>
      </c>
      <c r="K1375" t="s">
        <v>78</v>
      </c>
      <c r="L1375" t="s">
        <v>246</v>
      </c>
      <c r="M1375" t="s">
        <v>247</v>
      </c>
      <c r="N1375" t="s">
        <v>1210</v>
      </c>
      <c r="O1375" t="s">
        <v>82</v>
      </c>
      <c r="P1375" t="str">
        <f>"4170064015                    "</f>
        <v xml:space="preserve">4170064015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43.31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16.739999999999998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154.21</v>
      </c>
      <c r="BM1375">
        <v>23.13</v>
      </c>
      <c r="BN1375">
        <v>177.34</v>
      </c>
      <c r="BO1375">
        <v>177.34</v>
      </c>
      <c r="BQ1375" t="s">
        <v>1211</v>
      </c>
      <c r="BR1375" t="s">
        <v>97</v>
      </c>
      <c r="BS1375" s="3">
        <v>45944</v>
      </c>
      <c r="BT1375" s="4">
        <v>0.67708333333333337</v>
      </c>
      <c r="BU1375" t="s">
        <v>2153</v>
      </c>
      <c r="BV1375" t="s">
        <v>86</v>
      </c>
      <c r="BY1375">
        <v>1200</v>
      </c>
      <c r="BZ1375" t="s">
        <v>30</v>
      </c>
      <c r="CC1375" t="s">
        <v>247</v>
      </c>
      <c r="CD1375" s="5" t="s">
        <v>2154</v>
      </c>
      <c r="CE1375" t="s">
        <v>147</v>
      </c>
      <c r="CF1375" s="3">
        <v>45945</v>
      </c>
      <c r="CI1375">
        <v>1</v>
      </c>
      <c r="CJ1375">
        <v>1</v>
      </c>
      <c r="CK1375">
        <v>23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"080068489512"</f>
        <v>080068489512</v>
      </c>
      <c r="F1376" s="3">
        <v>45943</v>
      </c>
      <c r="G1376">
        <v>202607</v>
      </c>
      <c r="H1376" t="s">
        <v>79</v>
      </c>
      <c r="I1376" t="s">
        <v>80</v>
      </c>
      <c r="J1376" t="s">
        <v>91</v>
      </c>
      <c r="K1376" t="s">
        <v>78</v>
      </c>
      <c r="L1376" t="s">
        <v>121</v>
      </c>
      <c r="M1376" t="s">
        <v>122</v>
      </c>
      <c r="N1376" t="s">
        <v>1119</v>
      </c>
      <c r="O1376" t="s">
        <v>82</v>
      </c>
      <c r="P1376" t="str">
        <f>"4170064079                    "</f>
        <v xml:space="preserve">4170064079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22.36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70.959999999999994</v>
      </c>
      <c r="BM1376">
        <v>10.64</v>
      </c>
      <c r="BN1376">
        <v>81.599999999999994</v>
      </c>
      <c r="BO1376">
        <v>81.599999999999994</v>
      </c>
      <c r="BQ1376" t="s">
        <v>1694</v>
      </c>
      <c r="BR1376" t="s">
        <v>97</v>
      </c>
      <c r="BS1376" s="3">
        <v>45944</v>
      </c>
      <c r="BT1376" s="4">
        <v>0.35625000000000001</v>
      </c>
      <c r="BU1376" t="s">
        <v>2155</v>
      </c>
      <c r="BV1376" t="s">
        <v>86</v>
      </c>
      <c r="BY1376">
        <v>1200</v>
      </c>
      <c r="CA1376" t="s">
        <v>321</v>
      </c>
      <c r="CC1376" t="s">
        <v>122</v>
      </c>
      <c r="CD1376">
        <v>4017</v>
      </c>
      <c r="CE1376" t="s">
        <v>147</v>
      </c>
      <c r="CF1376" s="3">
        <v>45945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"080068489561"</f>
        <v>080068489561</v>
      </c>
      <c r="F1377" s="3">
        <v>45943</v>
      </c>
      <c r="G1377">
        <v>202607</v>
      </c>
      <c r="H1377" t="s">
        <v>79</v>
      </c>
      <c r="I1377" t="s">
        <v>80</v>
      </c>
      <c r="J1377" t="s">
        <v>91</v>
      </c>
      <c r="K1377" t="s">
        <v>78</v>
      </c>
      <c r="L1377" t="s">
        <v>306</v>
      </c>
      <c r="M1377" t="s">
        <v>307</v>
      </c>
      <c r="N1377" t="s">
        <v>335</v>
      </c>
      <c r="O1377" t="s">
        <v>82</v>
      </c>
      <c r="P1377" t="str">
        <f>"4170064000                    "</f>
        <v xml:space="preserve">4170064000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22.36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0.7</v>
      </c>
      <c r="BK1377">
        <v>1</v>
      </c>
      <c r="BL1377">
        <v>70.959999999999994</v>
      </c>
      <c r="BM1377">
        <v>10.64</v>
      </c>
      <c r="BN1377">
        <v>81.599999999999994</v>
      </c>
      <c r="BO1377">
        <v>81.599999999999994</v>
      </c>
      <c r="BQ1377" t="s">
        <v>475</v>
      </c>
      <c r="BR1377" t="s">
        <v>97</v>
      </c>
      <c r="BS1377" s="3">
        <v>45944</v>
      </c>
      <c r="BT1377" s="4">
        <v>0.60069444444444442</v>
      </c>
      <c r="BU1377" t="s">
        <v>1436</v>
      </c>
      <c r="BV1377" t="s">
        <v>90</v>
      </c>
      <c r="BW1377" t="s">
        <v>136</v>
      </c>
      <c r="BX1377" t="s">
        <v>1222</v>
      </c>
      <c r="BY1377">
        <v>3306</v>
      </c>
      <c r="CA1377" t="s">
        <v>157</v>
      </c>
      <c r="CC1377" t="s">
        <v>307</v>
      </c>
      <c r="CD1377">
        <v>4133</v>
      </c>
      <c r="CE1377" t="s">
        <v>191</v>
      </c>
      <c r="CF1377" s="3">
        <v>45945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"080068489565"</f>
        <v>080068489565</v>
      </c>
      <c r="F1378" s="3">
        <v>45943</v>
      </c>
      <c r="G1378">
        <v>202607</v>
      </c>
      <c r="H1378" t="s">
        <v>79</v>
      </c>
      <c r="I1378" t="s">
        <v>80</v>
      </c>
      <c r="J1378" t="s">
        <v>91</v>
      </c>
      <c r="K1378" t="s">
        <v>78</v>
      </c>
      <c r="L1378" t="s">
        <v>446</v>
      </c>
      <c r="M1378" t="s">
        <v>447</v>
      </c>
      <c r="N1378" t="s">
        <v>448</v>
      </c>
      <c r="O1378" t="s">
        <v>82</v>
      </c>
      <c r="P1378" t="str">
        <f>"4170063997                    "</f>
        <v xml:space="preserve">4170063997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43.31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137.47</v>
      </c>
      <c r="BM1378">
        <v>20.62</v>
      </c>
      <c r="BN1378">
        <v>158.09</v>
      </c>
      <c r="BO1378">
        <v>158.09</v>
      </c>
      <c r="BQ1378" t="s">
        <v>449</v>
      </c>
      <c r="BR1378" t="s">
        <v>97</v>
      </c>
      <c r="BS1378" s="3">
        <v>45944</v>
      </c>
      <c r="BT1378" s="4">
        <v>0.46388888888888891</v>
      </c>
      <c r="BU1378" t="s">
        <v>2156</v>
      </c>
      <c r="BV1378" t="s">
        <v>86</v>
      </c>
      <c r="BY1378">
        <v>1200</v>
      </c>
      <c r="CA1378" t="s">
        <v>1124</v>
      </c>
      <c r="CC1378" t="s">
        <v>447</v>
      </c>
      <c r="CD1378">
        <v>7130</v>
      </c>
      <c r="CE1378" t="s">
        <v>147</v>
      </c>
      <c r="CF1378" s="3">
        <v>45945</v>
      </c>
      <c r="CI1378">
        <v>1</v>
      </c>
      <c r="CJ1378">
        <v>1</v>
      </c>
      <c r="CK1378">
        <v>23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"080068489586"</f>
        <v>080068489586</v>
      </c>
      <c r="F1379" s="3">
        <v>45943</v>
      </c>
      <c r="G1379">
        <v>202607</v>
      </c>
      <c r="H1379" t="s">
        <v>79</v>
      </c>
      <c r="I1379" t="s">
        <v>80</v>
      </c>
      <c r="J1379" t="s">
        <v>91</v>
      </c>
      <c r="K1379" t="s">
        <v>78</v>
      </c>
      <c r="L1379" t="s">
        <v>322</v>
      </c>
      <c r="M1379" t="s">
        <v>322</v>
      </c>
      <c r="N1379" t="s">
        <v>376</v>
      </c>
      <c r="O1379" t="s">
        <v>82</v>
      </c>
      <c r="P1379" t="str">
        <f>"4170064012                    "</f>
        <v xml:space="preserve">4170064012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43.31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137.47</v>
      </c>
      <c r="BM1379">
        <v>20.62</v>
      </c>
      <c r="BN1379">
        <v>158.09</v>
      </c>
      <c r="BO1379">
        <v>158.09</v>
      </c>
      <c r="BQ1379" t="s">
        <v>377</v>
      </c>
      <c r="BR1379" t="s">
        <v>97</v>
      </c>
      <c r="BS1379" s="3">
        <v>45944</v>
      </c>
      <c r="BT1379" s="4">
        <v>0.52847222222222223</v>
      </c>
      <c r="BU1379" t="s">
        <v>1402</v>
      </c>
      <c r="BV1379" t="s">
        <v>86</v>
      </c>
      <c r="BY1379">
        <v>1200</v>
      </c>
      <c r="CA1379" t="s">
        <v>326</v>
      </c>
      <c r="CC1379" t="s">
        <v>322</v>
      </c>
      <c r="CD1379">
        <v>7646</v>
      </c>
      <c r="CE1379" t="s">
        <v>147</v>
      </c>
      <c r="CF1379" s="3">
        <v>45945</v>
      </c>
      <c r="CI1379">
        <v>1</v>
      </c>
      <c r="CJ1379">
        <v>1</v>
      </c>
      <c r="CK1379">
        <v>23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"080068490527"</f>
        <v>080068490527</v>
      </c>
      <c r="F1380" s="3">
        <v>45943</v>
      </c>
      <c r="G1380">
        <v>202607</v>
      </c>
      <c r="H1380" t="s">
        <v>79</v>
      </c>
      <c r="I1380" t="s">
        <v>80</v>
      </c>
      <c r="J1380" t="s">
        <v>91</v>
      </c>
      <c r="K1380" t="s">
        <v>78</v>
      </c>
      <c r="L1380" t="s">
        <v>206</v>
      </c>
      <c r="M1380" t="s">
        <v>207</v>
      </c>
      <c r="N1380" t="s">
        <v>656</v>
      </c>
      <c r="O1380" t="s">
        <v>82</v>
      </c>
      <c r="P1380" t="str">
        <f>"4170064043                    "</f>
        <v xml:space="preserve">4170064043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22.36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70.959999999999994</v>
      </c>
      <c r="BM1380">
        <v>10.64</v>
      </c>
      <c r="BN1380">
        <v>81.599999999999994</v>
      </c>
      <c r="BO1380">
        <v>81.599999999999994</v>
      </c>
      <c r="BQ1380" t="s">
        <v>657</v>
      </c>
      <c r="BR1380" t="s">
        <v>97</v>
      </c>
      <c r="BS1380" s="3">
        <v>45944</v>
      </c>
      <c r="BT1380" s="4">
        <v>0.39513888888888887</v>
      </c>
      <c r="BU1380" t="s">
        <v>967</v>
      </c>
      <c r="BV1380" t="s">
        <v>86</v>
      </c>
      <c r="BY1380">
        <v>1200</v>
      </c>
      <c r="CA1380" t="s">
        <v>211</v>
      </c>
      <c r="CC1380" t="s">
        <v>207</v>
      </c>
      <c r="CD1380">
        <v>7441</v>
      </c>
      <c r="CE1380" t="s">
        <v>147</v>
      </c>
      <c r="CF1380" s="3">
        <v>45945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"080068490577"</f>
        <v>080068490577</v>
      </c>
      <c r="F1381" s="3">
        <v>45943</v>
      </c>
      <c r="G1381">
        <v>202607</v>
      </c>
      <c r="H1381" t="s">
        <v>79</v>
      </c>
      <c r="I1381" t="s">
        <v>80</v>
      </c>
      <c r="J1381" t="s">
        <v>91</v>
      </c>
      <c r="K1381" t="s">
        <v>78</v>
      </c>
      <c r="L1381" t="s">
        <v>79</v>
      </c>
      <c r="M1381" t="s">
        <v>80</v>
      </c>
      <c r="N1381" t="s">
        <v>2157</v>
      </c>
      <c r="O1381" t="s">
        <v>82</v>
      </c>
      <c r="P1381" t="str">
        <f>"4170064090                    "</f>
        <v xml:space="preserve">4170064090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17.46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55.42</v>
      </c>
      <c r="BM1381">
        <v>8.31</v>
      </c>
      <c r="BN1381">
        <v>63.73</v>
      </c>
      <c r="BO1381">
        <v>63.73</v>
      </c>
      <c r="BQ1381" t="s">
        <v>2158</v>
      </c>
      <c r="BR1381" t="s">
        <v>97</v>
      </c>
      <c r="BS1381" s="3">
        <v>45944</v>
      </c>
      <c r="BT1381" s="4">
        <v>0.39374999999999999</v>
      </c>
      <c r="BU1381" t="s">
        <v>579</v>
      </c>
      <c r="BV1381" t="s">
        <v>86</v>
      </c>
      <c r="BY1381">
        <v>1200</v>
      </c>
      <c r="CA1381" t="s">
        <v>580</v>
      </c>
      <c r="CC1381" t="s">
        <v>80</v>
      </c>
      <c r="CD1381">
        <v>1619</v>
      </c>
      <c r="CE1381" t="s">
        <v>147</v>
      </c>
      <c r="CF1381" s="3">
        <v>45944</v>
      </c>
      <c r="CI1381">
        <v>1</v>
      </c>
      <c r="CJ1381">
        <v>1</v>
      </c>
      <c r="CK1381">
        <v>22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"080068490664"</f>
        <v>080068490664</v>
      </c>
      <c r="F1382" s="3">
        <v>45943</v>
      </c>
      <c r="G1382">
        <v>202607</v>
      </c>
      <c r="H1382" t="s">
        <v>79</v>
      </c>
      <c r="I1382" t="s">
        <v>80</v>
      </c>
      <c r="J1382" t="s">
        <v>91</v>
      </c>
      <c r="K1382" t="s">
        <v>78</v>
      </c>
      <c r="L1382" t="s">
        <v>79</v>
      </c>
      <c r="M1382" t="s">
        <v>80</v>
      </c>
      <c r="N1382" t="s">
        <v>357</v>
      </c>
      <c r="O1382" t="s">
        <v>226</v>
      </c>
      <c r="P1382" t="str">
        <f>"4170064071                    "</f>
        <v xml:space="preserve">4170064071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21.39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8</v>
      </c>
      <c r="BJ1382">
        <v>9.1</v>
      </c>
      <c r="BK1382">
        <v>10</v>
      </c>
      <c r="BL1382">
        <v>67.88</v>
      </c>
      <c r="BM1382">
        <v>10.18</v>
      </c>
      <c r="BN1382">
        <v>78.06</v>
      </c>
      <c r="BO1382">
        <v>78.06</v>
      </c>
      <c r="BQ1382" t="s">
        <v>358</v>
      </c>
      <c r="BR1382" t="s">
        <v>97</v>
      </c>
      <c r="BS1382" s="3">
        <v>45944</v>
      </c>
      <c r="BT1382" s="4">
        <v>0.54166666666666663</v>
      </c>
      <c r="BU1382" t="s">
        <v>1423</v>
      </c>
      <c r="BV1382" t="s">
        <v>86</v>
      </c>
      <c r="BY1382">
        <v>45486</v>
      </c>
      <c r="CC1382" t="s">
        <v>80</v>
      </c>
      <c r="CD1382">
        <v>1645</v>
      </c>
      <c r="CE1382" t="s">
        <v>191</v>
      </c>
      <c r="CF1382" s="3">
        <v>45945</v>
      </c>
      <c r="CI1382">
        <v>1</v>
      </c>
      <c r="CJ1382">
        <v>1</v>
      </c>
      <c r="CK1382">
        <v>32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"080068490782"</f>
        <v>080068490782</v>
      </c>
      <c r="F1383" s="3">
        <v>45943</v>
      </c>
      <c r="G1383">
        <v>202607</v>
      </c>
      <c r="H1383" t="s">
        <v>79</v>
      </c>
      <c r="I1383" t="s">
        <v>80</v>
      </c>
      <c r="J1383" t="s">
        <v>91</v>
      </c>
      <c r="K1383" t="s">
        <v>78</v>
      </c>
      <c r="L1383" t="s">
        <v>1208</v>
      </c>
      <c r="M1383" t="s">
        <v>1209</v>
      </c>
      <c r="N1383" t="s">
        <v>1210</v>
      </c>
      <c r="O1383" t="s">
        <v>82</v>
      </c>
      <c r="P1383" t="str">
        <f>"4170064072                    "</f>
        <v xml:space="preserve">4170064072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238.91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12</v>
      </c>
      <c r="BJ1383">
        <v>3.8</v>
      </c>
      <c r="BK1383">
        <v>12</v>
      </c>
      <c r="BL1383">
        <v>758.27</v>
      </c>
      <c r="BM1383">
        <v>113.74</v>
      </c>
      <c r="BN1383">
        <v>872.01</v>
      </c>
      <c r="BO1383">
        <v>872.01</v>
      </c>
      <c r="BQ1383" t="s">
        <v>1211</v>
      </c>
      <c r="BR1383" t="s">
        <v>97</v>
      </c>
      <c r="BS1383" s="3">
        <v>45944</v>
      </c>
      <c r="BT1383" s="4">
        <v>0.70486111111111116</v>
      </c>
      <c r="BU1383" t="s">
        <v>1212</v>
      </c>
      <c r="BV1383" t="s">
        <v>86</v>
      </c>
      <c r="BY1383">
        <v>19227</v>
      </c>
      <c r="CA1383" t="s">
        <v>1213</v>
      </c>
      <c r="CC1383" t="s">
        <v>1209</v>
      </c>
      <c r="CD1383">
        <v>9880</v>
      </c>
      <c r="CE1383" t="s">
        <v>191</v>
      </c>
      <c r="CF1383" s="3">
        <v>45945</v>
      </c>
      <c r="CI1383">
        <v>1</v>
      </c>
      <c r="CJ1383">
        <v>1</v>
      </c>
      <c r="CK1383">
        <v>23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"080068490843"</f>
        <v>080068490843</v>
      </c>
      <c r="F1384" s="3">
        <v>45943</v>
      </c>
      <c r="G1384">
        <v>202607</v>
      </c>
      <c r="H1384" t="s">
        <v>79</v>
      </c>
      <c r="I1384" t="s">
        <v>80</v>
      </c>
      <c r="J1384" t="s">
        <v>91</v>
      </c>
      <c r="K1384" t="s">
        <v>78</v>
      </c>
      <c r="L1384" t="s">
        <v>271</v>
      </c>
      <c r="M1384" t="s">
        <v>272</v>
      </c>
      <c r="N1384" t="s">
        <v>277</v>
      </c>
      <c r="O1384" t="s">
        <v>82</v>
      </c>
      <c r="P1384" t="str">
        <f>"4170064038                    "</f>
        <v xml:space="preserve">4170064038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23.74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11</v>
      </c>
      <c r="BJ1384">
        <v>3.4</v>
      </c>
      <c r="BK1384">
        <v>11</v>
      </c>
      <c r="BL1384">
        <v>75.349999999999994</v>
      </c>
      <c r="BM1384">
        <v>11.3</v>
      </c>
      <c r="BN1384">
        <v>86.65</v>
      </c>
      <c r="BO1384">
        <v>86.65</v>
      </c>
      <c r="BQ1384" t="s">
        <v>278</v>
      </c>
      <c r="BR1384" t="s">
        <v>97</v>
      </c>
      <c r="BS1384" s="3">
        <v>45944</v>
      </c>
      <c r="BT1384" s="4">
        <v>0.4236111111111111</v>
      </c>
      <c r="BU1384" t="s">
        <v>378</v>
      </c>
      <c r="BV1384" t="s">
        <v>86</v>
      </c>
      <c r="BY1384">
        <v>16965</v>
      </c>
      <c r="CA1384" t="s">
        <v>2135</v>
      </c>
      <c r="CC1384" t="s">
        <v>272</v>
      </c>
      <c r="CD1384">
        <v>1401</v>
      </c>
      <c r="CE1384" t="s">
        <v>191</v>
      </c>
      <c r="CF1384" s="3">
        <v>45945</v>
      </c>
      <c r="CI1384">
        <v>1</v>
      </c>
      <c r="CJ1384">
        <v>1</v>
      </c>
      <c r="CK1384">
        <v>22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"080068490920"</f>
        <v>080068490920</v>
      </c>
      <c r="F1385" s="3">
        <v>45943</v>
      </c>
      <c r="G1385">
        <v>202607</v>
      </c>
      <c r="H1385" t="s">
        <v>79</v>
      </c>
      <c r="I1385" t="s">
        <v>80</v>
      </c>
      <c r="J1385" t="s">
        <v>91</v>
      </c>
      <c r="K1385" t="s">
        <v>78</v>
      </c>
      <c r="L1385" t="s">
        <v>223</v>
      </c>
      <c r="M1385" t="s">
        <v>224</v>
      </c>
      <c r="N1385" t="s">
        <v>2159</v>
      </c>
      <c r="O1385" t="s">
        <v>226</v>
      </c>
      <c r="P1385" t="str">
        <f>"4170064020                    "</f>
        <v xml:space="preserve">4170064020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17.47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3.6</v>
      </c>
      <c r="BJ1385">
        <v>5.0999999999999996</v>
      </c>
      <c r="BK1385">
        <v>6</v>
      </c>
      <c r="BL1385">
        <v>55.44</v>
      </c>
      <c r="BM1385">
        <v>8.32</v>
      </c>
      <c r="BN1385">
        <v>63.76</v>
      </c>
      <c r="BO1385">
        <v>63.76</v>
      </c>
      <c r="BQ1385" t="s">
        <v>2160</v>
      </c>
      <c r="BR1385" t="s">
        <v>97</v>
      </c>
      <c r="BS1385" s="3">
        <v>45944</v>
      </c>
      <c r="BT1385" s="4">
        <v>0.35208333333333336</v>
      </c>
      <c r="BU1385" t="s">
        <v>2161</v>
      </c>
      <c r="BV1385" t="s">
        <v>86</v>
      </c>
      <c r="BY1385">
        <v>25401.599999999999</v>
      </c>
      <c r="CA1385" t="s">
        <v>1110</v>
      </c>
      <c r="CC1385" t="s">
        <v>224</v>
      </c>
      <c r="CD1385">
        <v>1459</v>
      </c>
      <c r="CE1385" t="s">
        <v>107</v>
      </c>
      <c r="CF1385" s="3">
        <v>45944</v>
      </c>
      <c r="CI1385">
        <v>1</v>
      </c>
      <c r="CJ1385">
        <v>1</v>
      </c>
      <c r="CK1385">
        <v>32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"080068490990"</f>
        <v>080068490990</v>
      </c>
      <c r="F1386" s="3">
        <v>45943</v>
      </c>
      <c r="G1386">
        <v>202607</v>
      </c>
      <c r="H1386" t="s">
        <v>79</v>
      </c>
      <c r="I1386" t="s">
        <v>80</v>
      </c>
      <c r="J1386" t="s">
        <v>91</v>
      </c>
      <c r="K1386" t="s">
        <v>78</v>
      </c>
      <c r="L1386" t="s">
        <v>121</v>
      </c>
      <c r="M1386" t="s">
        <v>122</v>
      </c>
      <c r="N1386" t="s">
        <v>707</v>
      </c>
      <c r="O1386" t="s">
        <v>82</v>
      </c>
      <c r="P1386" t="str">
        <f>"4170064027                    "</f>
        <v xml:space="preserve">4170064027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22.36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0.7</v>
      </c>
      <c r="BK1386">
        <v>1</v>
      </c>
      <c r="BL1386">
        <v>70.959999999999994</v>
      </c>
      <c r="BM1386">
        <v>10.64</v>
      </c>
      <c r="BN1386">
        <v>81.599999999999994</v>
      </c>
      <c r="BO1386">
        <v>81.599999999999994</v>
      </c>
      <c r="BQ1386" t="s">
        <v>708</v>
      </c>
      <c r="BR1386" t="s">
        <v>97</v>
      </c>
      <c r="BS1386" s="3">
        <v>45944</v>
      </c>
      <c r="BT1386" s="4">
        <v>0.4236111111111111</v>
      </c>
      <c r="BU1386" t="s">
        <v>823</v>
      </c>
      <c r="BV1386" t="s">
        <v>86</v>
      </c>
      <c r="BY1386">
        <v>3306</v>
      </c>
      <c r="CA1386" t="s">
        <v>651</v>
      </c>
      <c r="CC1386" t="s">
        <v>122</v>
      </c>
      <c r="CD1386">
        <v>4001</v>
      </c>
      <c r="CE1386" t="s">
        <v>191</v>
      </c>
      <c r="CF1386" s="3">
        <v>45945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"080068491049"</f>
        <v>080068491049</v>
      </c>
      <c r="F1387" s="3">
        <v>45943</v>
      </c>
      <c r="G1387">
        <v>202607</v>
      </c>
      <c r="H1387" t="s">
        <v>79</v>
      </c>
      <c r="I1387" t="s">
        <v>80</v>
      </c>
      <c r="J1387" t="s">
        <v>91</v>
      </c>
      <c r="K1387" t="s">
        <v>78</v>
      </c>
      <c r="L1387" t="s">
        <v>223</v>
      </c>
      <c r="M1387" t="s">
        <v>224</v>
      </c>
      <c r="N1387" t="s">
        <v>1464</v>
      </c>
      <c r="O1387" t="s">
        <v>82</v>
      </c>
      <c r="P1387" t="str">
        <f>"4170064009                    "</f>
        <v xml:space="preserve">4170064009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17.46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3</v>
      </c>
      <c r="BJ1387">
        <v>1.9</v>
      </c>
      <c r="BK1387">
        <v>3</v>
      </c>
      <c r="BL1387">
        <v>55.42</v>
      </c>
      <c r="BM1387">
        <v>8.31</v>
      </c>
      <c r="BN1387">
        <v>63.73</v>
      </c>
      <c r="BO1387">
        <v>63.73</v>
      </c>
      <c r="BQ1387" t="s">
        <v>1465</v>
      </c>
      <c r="BR1387" t="s">
        <v>97</v>
      </c>
      <c r="BS1387" s="3">
        <v>45944</v>
      </c>
      <c r="BT1387" s="4">
        <v>0.64652777777777781</v>
      </c>
      <c r="BU1387" t="s">
        <v>2162</v>
      </c>
      <c r="BV1387" t="s">
        <v>90</v>
      </c>
      <c r="BW1387" t="s">
        <v>731</v>
      </c>
      <c r="BX1387" t="s">
        <v>2163</v>
      </c>
      <c r="BY1387">
        <v>9600</v>
      </c>
      <c r="CC1387" t="s">
        <v>224</v>
      </c>
      <c r="CD1387">
        <v>1459</v>
      </c>
      <c r="CE1387" t="s">
        <v>191</v>
      </c>
      <c r="CF1387" s="3">
        <v>45946</v>
      </c>
      <c r="CI1387">
        <v>1</v>
      </c>
      <c r="CJ1387">
        <v>1</v>
      </c>
      <c r="CK1387">
        <v>22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"080068491174"</f>
        <v>080068491174</v>
      </c>
      <c r="F1388" s="3">
        <v>45943</v>
      </c>
      <c r="G1388">
        <v>202607</v>
      </c>
      <c r="H1388" t="s">
        <v>79</v>
      </c>
      <c r="I1388" t="s">
        <v>80</v>
      </c>
      <c r="J1388" t="s">
        <v>91</v>
      </c>
      <c r="K1388" t="s">
        <v>78</v>
      </c>
      <c r="L1388" t="s">
        <v>206</v>
      </c>
      <c r="M1388" t="s">
        <v>207</v>
      </c>
      <c r="N1388" t="s">
        <v>2164</v>
      </c>
      <c r="O1388" t="s">
        <v>95</v>
      </c>
      <c r="P1388" t="str">
        <f>"4170064065                    "</f>
        <v xml:space="preserve">4170064065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45.02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16</v>
      </c>
      <c r="BJ1388">
        <v>11.9</v>
      </c>
      <c r="BK1388">
        <v>16</v>
      </c>
      <c r="BL1388">
        <v>148.75</v>
      </c>
      <c r="BM1388">
        <v>22.31</v>
      </c>
      <c r="BN1388">
        <v>171.06</v>
      </c>
      <c r="BO1388">
        <v>171.06</v>
      </c>
      <c r="BQ1388" t="s">
        <v>2165</v>
      </c>
      <c r="BR1388" t="s">
        <v>97</v>
      </c>
      <c r="BS1388" s="3">
        <v>45945</v>
      </c>
      <c r="BT1388" s="4">
        <v>0.42777777777777776</v>
      </c>
      <c r="BU1388" t="s">
        <v>2156</v>
      </c>
      <c r="BV1388" t="s">
        <v>86</v>
      </c>
      <c r="BY1388">
        <v>59389.2</v>
      </c>
      <c r="CA1388" t="s">
        <v>394</v>
      </c>
      <c r="CC1388" t="s">
        <v>207</v>
      </c>
      <c r="CD1388">
        <v>7441</v>
      </c>
      <c r="CE1388" t="s">
        <v>975</v>
      </c>
      <c r="CF1388" s="3">
        <v>45946</v>
      </c>
      <c r="CI1388">
        <v>3</v>
      </c>
      <c r="CJ1388">
        <v>2</v>
      </c>
      <c r="CK1388">
        <v>41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"080068491199"</f>
        <v>080068491199</v>
      </c>
      <c r="F1389" s="3">
        <v>45943</v>
      </c>
      <c r="G1389">
        <v>202607</v>
      </c>
      <c r="H1389" t="s">
        <v>79</v>
      </c>
      <c r="I1389" t="s">
        <v>80</v>
      </c>
      <c r="J1389" t="s">
        <v>91</v>
      </c>
      <c r="K1389" t="s">
        <v>78</v>
      </c>
      <c r="L1389" t="s">
        <v>102</v>
      </c>
      <c r="M1389" t="s">
        <v>103</v>
      </c>
      <c r="N1389" t="s">
        <v>618</v>
      </c>
      <c r="O1389" t="s">
        <v>82</v>
      </c>
      <c r="P1389" t="str">
        <f>"4170064104                    "</f>
        <v xml:space="preserve">4170064104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17.46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1.3</v>
      </c>
      <c r="BJ1389">
        <v>2.2000000000000002</v>
      </c>
      <c r="BK1389">
        <v>3</v>
      </c>
      <c r="BL1389">
        <v>55.42</v>
      </c>
      <c r="BM1389">
        <v>8.31</v>
      </c>
      <c r="BN1389">
        <v>63.73</v>
      </c>
      <c r="BO1389">
        <v>63.73</v>
      </c>
      <c r="BQ1389" t="s">
        <v>619</v>
      </c>
      <c r="BR1389" t="s">
        <v>97</v>
      </c>
      <c r="BS1389" s="3">
        <v>45944</v>
      </c>
      <c r="BT1389" s="4">
        <v>0.32361111111111113</v>
      </c>
      <c r="BU1389" t="s">
        <v>2166</v>
      </c>
      <c r="BV1389" t="s">
        <v>86</v>
      </c>
      <c r="BY1389">
        <v>10811.02</v>
      </c>
      <c r="CA1389" t="s">
        <v>621</v>
      </c>
      <c r="CC1389" t="s">
        <v>103</v>
      </c>
      <c r="CD1389">
        <v>1451</v>
      </c>
      <c r="CE1389" t="s">
        <v>191</v>
      </c>
      <c r="CF1389" s="3">
        <v>45944</v>
      </c>
      <c r="CI1389">
        <v>1</v>
      </c>
      <c r="CJ1389">
        <v>1</v>
      </c>
      <c r="CK1389">
        <v>22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"080068491238"</f>
        <v>080068491238</v>
      </c>
      <c r="F1390" s="3">
        <v>45943</v>
      </c>
      <c r="G1390">
        <v>202607</v>
      </c>
      <c r="H1390" t="s">
        <v>79</v>
      </c>
      <c r="I1390" t="s">
        <v>80</v>
      </c>
      <c r="J1390" t="s">
        <v>91</v>
      </c>
      <c r="K1390" t="s">
        <v>78</v>
      </c>
      <c r="L1390" t="s">
        <v>788</v>
      </c>
      <c r="M1390" t="s">
        <v>789</v>
      </c>
      <c r="N1390" t="s">
        <v>790</v>
      </c>
      <c r="O1390" t="s">
        <v>82</v>
      </c>
      <c r="P1390" t="str">
        <f>"4170064085                    "</f>
        <v xml:space="preserve">4170064085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82.43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</v>
      </c>
      <c r="BJ1390">
        <v>3.9</v>
      </c>
      <c r="BK1390">
        <v>4</v>
      </c>
      <c r="BL1390">
        <v>261.63</v>
      </c>
      <c r="BM1390">
        <v>39.24</v>
      </c>
      <c r="BN1390">
        <v>300.87</v>
      </c>
      <c r="BO1390">
        <v>300.87</v>
      </c>
      <c r="BQ1390" t="s">
        <v>791</v>
      </c>
      <c r="BR1390" t="s">
        <v>97</v>
      </c>
      <c r="BS1390" s="3">
        <v>45944</v>
      </c>
      <c r="BT1390" s="4">
        <v>0.50416666666666665</v>
      </c>
      <c r="BU1390" t="s">
        <v>2167</v>
      </c>
      <c r="BV1390" t="s">
        <v>86</v>
      </c>
      <c r="BY1390">
        <v>19456</v>
      </c>
      <c r="CA1390" t="s">
        <v>2124</v>
      </c>
      <c r="CC1390" t="s">
        <v>789</v>
      </c>
      <c r="CD1390">
        <v>3290</v>
      </c>
      <c r="CE1390" t="s">
        <v>107</v>
      </c>
      <c r="CF1390" s="3">
        <v>45945</v>
      </c>
      <c r="CI1390">
        <v>1</v>
      </c>
      <c r="CJ1390">
        <v>1</v>
      </c>
      <c r="CK1390">
        <v>23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"080068491273"</f>
        <v>080068491273</v>
      </c>
      <c r="F1391" s="3">
        <v>45943</v>
      </c>
      <c r="G1391">
        <v>202607</v>
      </c>
      <c r="H1391" t="s">
        <v>79</v>
      </c>
      <c r="I1391" t="s">
        <v>80</v>
      </c>
      <c r="J1391" t="s">
        <v>91</v>
      </c>
      <c r="K1391" t="s">
        <v>78</v>
      </c>
      <c r="L1391" t="s">
        <v>108</v>
      </c>
      <c r="M1391" t="s">
        <v>109</v>
      </c>
      <c r="N1391" t="s">
        <v>515</v>
      </c>
      <c r="O1391" t="s">
        <v>82</v>
      </c>
      <c r="P1391" t="str">
        <f>"4170064083                    "</f>
        <v xml:space="preserve">4170064083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39.11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3</v>
      </c>
      <c r="BJ1391">
        <v>3.1</v>
      </c>
      <c r="BK1391">
        <v>3.5</v>
      </c>
      <c r="BL1391">
        <v>124.13</v>
      </c>
      <c r="BM1391">
        <v>18.62</v>
      </c>
      <c r="BN1391">
        <v>142.75</v>
      </c>
      <c r="BO1391">
        <v>142.75</v>
      </c>
      <c r="BQ1391" t="s">
        <v>516</v>
      </c>
      <c r="BR1391" t="s">
        <v>97</v>
      </c>
      <c r="BS1391" s="3">
        <v>45944</v>
      </c>
      <c r="BT1391" s="4">
        <v>0.42569444444444443</v>
      </c>
      <c r="BU1391" t="s">
        <v>517</v>
      </c>
      <c r="BV1391" t="s">
        <v>86</v>
      </c>
      <c r="BY1391">
        <v>15360</v>
      </c>
      <c r="CA1391" t="s">
        <v>113</v>
      </c>
      <c r="CC1391" t="s">
        <v>109</v>
      </c>
      <c r="CD1391">
        <v>6001</v>
      </c>
      <c r="CE1391" t="s">
        <v>107</v>
      </c>
      <c r="CF1391" s="3">
        <v>45944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"080011646355"</f>
        <v>080011646355</v>
      </c>
      <c r="F1392" s="3">
        <v>45943</v>
      </c>
      <c r="G1392">
        <v>202607</v>
      </c>
      <c r="H1392" t="s">
        <v>108</v>
      </c>
      <c r="I1392" t="s">
        <v>109</v>
      </c>
      <c r="J1392" t="s">
        <v>2168</v>
      </c>
      <c r="K1392" t="s">
        <v>78</v>
      </c>
      <c r="L1392" t="s">
        <v>79</v>
      </c>
      <c r="M1392" t="s">
        <v>80</v>
      </c>
      <c r="N1392" t="s">
        <v>81</v>
      </c>
      <c r="O1392" t="s">
        <v>82</v>
      </c>
      <c r="P1392" t="str">
        <f>"ZA1001417127                  "</f>
        <v xml:space="preserve">ZA1001417127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55.86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3</v>
      </c>
      <c r="BJ1392">
        <v>4.8</v>
      </c>
      <c r="BK1392">
        <v>5</v>
      </c>
      <c r="BL1392">
        <v>177.3</v>
      </c>
      <c r="BM1392">
        <v>26.6</v>
      </c>
      <c r="BN1392">
        <v>203.9</v>
      </c>
      <c r="BO1392">
        <v>203.9</v>
      </c>
      <c r="BQ1392" t="s">
        <v>83</v>
      </c>
      <c r="BR1392" t="s">
        <v>2169</v>
      </c>
      <c r="BS1392" s="3">
        <v>45944</v>
      </c>
      <c r="BT1392" s="4">
        <v>0.39097222222222222</v>
      </c>
      <c r="BU1392" t="s">
        <v>85</v>
      </c>
      <c r="BV1392" t="s">
        <v>86</v>
      </c>
      <c r="BY1392">
        <v>24000</v>
      </c>
      <c r="BZ1392" t="s">
        <v>87</v>
      </c>
      <c r="CA1392" t="s">
        <v>88</v>
      </c>
      <c r="CC1392" t="s">
        <v>80</v>
      </c>
      <c r="CD1392">
        <v>1619</v>
      </c>
      <c r="CE1392" t="s">
        <v>89</v>
      </c>
      <c r="CF1392" s="3">
        <v>45944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"080068491503"</f>
        <v>080068491503</v>
      </c>
      <c r="F1393" s="3">
        <v>45943</v>
      </c>
      <c r="G1393">
        <v>202607</v>
      </c>
      <c r="H1393" t="s">
        <v>79</v>
      </c>
      <c r="I1393" t="s">
        <v>80</v>
      </c>
      <c r="J1393" t="s">
        <v>91</v>
      </c>
      <c r="K1393" t="s">
        <v>78</v>
      </c>
      <c r="L1393" t="s">
        <v>530</v>
      </c>
      <c r="M1393" t="s">
        <v>531</v>
      </c>
      <c r="N1393" t="s">
        <v>754</v>
      </c>
      <c r="O1393" t="s">
        <v>82</v>
      </c>
      <c r="P1393" t="str">
        <f>"4170063996                    "</f>
        <v xml:space="preserve">4170063996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43.31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</v>
      </c>
      <c r="BJ1393">
        <v>1.8</v>
      </c>
      <c r="BK1393">
        <v>2</v>
      </c>
      <c r="BL1393">
        <v>137.47</v>
      </c>
      <c r="BM1393">
        <v>20.62</v>
      </c>
      <c r="BN1393">
        <v>158.09</v>
      </c>
      <c r="BO1393">
        <v>158.09</v>
      </c>
      <c r="BQ1393" t="s">
        <v>755</v>
      </c>
      <c r="BR1393" t="s">
        <v>97</v>
      </c>
      <c r="BS1393" s="3">
        <v>45944</v>
      </c>
      <c r="BT1393" s="4">
        <v>0.5625</v>
      </c>
      <c r="BU1393" t="s">
        <v>2170</v>
      </c>
      <c r="BV1393" t="s">
        <v>86</v>
      </c>
      <c r="BY1393">
        <v>8816</v>
      </c>
      <c r="CA1393" t="s">
        <v>1245</v>
      </c>
      <c r="CC1393" t="s">
        <v>531</v>
      </c>
      <c r="CD1393">
        <v>6850</v>
      </c>
      <c r="CE1393" t="s">
        <v>191</v>
      </c>
      <c r="CF1393" s="3">
        <v>45945</v>
      </c>
      <c r="CI1393">
        <v>2</v>
      </c>
      <c r="CJ1393">
        <v>1</v>
      </c>
      <c r="CK1393">
        <v>23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"080068491515"</f>
        <v>080068491515</v>
      </c>
      <c r="F1394" s="3">
        <v>45943</v>
      </c>
      <c r="G1394">
        <v>202607</v>
      </c>
      <c r="H1394" t="s">
        <v>79</v>
      </c>
      <c r="I1394" t="s">
        <v>80</v>
      </c>
      <c r="J1394" t="s">
        <v>91</v>
      </c>
      <c r="K1394" t="s">
        <v>78</v>
      </c>
      <c r="L1394" t="s">
        <v>281</v>
      </c>
      <c r="M1394" t="s">
        <v>282</v>
      </c>
      <c r="N1394" t="s">
        <v>2171</v>
      </c>
      <c r="O1394" t="s">
        <v>82</v>
      </c>
      <c r="P1394" t="str">
        <f>"4170064035                    "</f>
        <v xml:space="preserve">4170064035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43.31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137.47</v>
      </c>
      <c r="BM1394">
        <v>20.62</v>
      </c>
      <c r="BN1394">
        <v>158.09</v>
      </c>
      <c r="BO1394">
        <v>158.09</v>
      </c>
      <c r="BQ1394" t="s">
        <v>2172</v>
      </c>
      <c r="BR1394" t="s">
        <v>97</v>
      </c>
      <c r="BS1394" s="3">
        <v>45944</v>
      </c>
      <c r="BT1394" s="4">
        <v>0.4284722222222222</v>
      </c>
      <c r="BU1394" t="s">
        <v>2173</v>
      </c>
      <c r="BV1394" t="s">
        <v>86</v>
      </c>
      <c r="BY1394">
        <v>1200</v>
      </c>
      <c r="CA1394" t="s">
        <v>2018</v>
      </c>
      <c r="CC1394" t="s">
        <v>282</v>
      </c>
      <c r="CD1394">
        <v>1873</v>
      </c>
      <c r="CE1394" t="s">
        <v>147</v>
      </c>
      <c r="CF1394" s="3">
        <v>45945</v>
      </c>
      <c r="CI1394">
        <v>1</v>
      </c>
      <c r="CJ1394">
        <v>1</v>
      </c>
      <c r="CK1394">
        <v>23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"080068491538"</f>
        <v>080068491538</v>
      </c>
      <c r="F1395" s="3">
        <v>45943</v>
      </c>
      <c r="G1395">
        <v>202607</v>
      </c>
      <c r="H1395" t="s">
        <v>79</v>
      </c>
      <c r="I1395" t="s">
        <v>80</v>
      </c>
      <c r="J1395" t="s">
        <v>91</v>
      </c>
      <c r="K1395" t="s">
        <v>78</v>
      </c>
      <c r="L1395" t="s">
        <v>180</v>
      </c>
      <c r="M1395" t="s">
        <v>181</v>
      </c>
      <c r="N1395" t="s">
        <v>2174</v>
      </c>
      <c r="O1395" t="s">
        <v>95</v>
      </c>
      <c r="P1395" t="str">
        <f>"4170064062                    "</f>
        <v xml:space="preserve">4170064062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60.97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4</v>
      </c>
      <c r="BJ1395">
        <v>1.8</v>
      </c>
      <c r="BK1395">
        <v>4</v>
      </c>
      <c r="BL1395">
        <v>199.39</v>
      </c>
      <c r="BM1395">
        <v>29.91</v>
      </c>
      <c r="BN1395">
        <v>229.3</v>
      </c>
      <c r="BO1395">
        <v>229.3</v>
      </c>
      <c r="BQ1395" t="s">
        <v>2175</v>
      </c>
      <c r="BR1395" t="s">
        <v>97</v>
      </c>
      <c r="BS1395" s="3">
        <v>45944</v>
      </c>
      <c r="BT1395" s="4">
        <v>0.51597222222222228</v>
      </c>
      <c r="BU1395" t="s">
        <v>2176</v>
      </c>
      <c r="BV1395" t="s">
        <v>86</v>
      </c>
      <c r="BY1395">
        <v>8816</v>
      </c>
      <c r="CA1395">
        <v>8410105735081</v>
      </c>
      <c r="CC1395" t="s">
        <v>181</v>
      </c>
      <c r="CD1395">
        <v>1020</v>
      </c>
      <c r="CE1395" t="s">
        <v>191</v>
      </c>
      <c r="CF1395" s="3">
        <v>45944</v>
      </c>
      <c r="CI1395">
        <v>1</v>
      </c>
      <c r="CJ1395">
        <v>1</v>
      </c>
      <c r="CK1395">
        <v>43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"080068491543"</f>
        <v>080068491543</v>
      </c>
      <c r="F1396" s="3">
        <v>45943</v>
      </c>
      <c r="G1396">
        <v>202607</v>
      </c>
      <c r="H1396" t="s">
        <v>79</v>
      </c>
      <c r="I1396" t="s">
        <v>80</v>
      </c>
      <c r="J1396" t="s">
        <v>91</v>
      </c>
      <c r="K1396" t="s">
        <v>78</v>
      </c>
      <c r="L1396" t="s">
        <v>75</v>
      </c>
      <c r="M1396" t="s">
        <v>76</v>
      </c>
      <c r="N1396" t="s">
        <v>2177</v>
      </c>
      <c r="O1396" t="s">
        <v>82</v>
      </c>
      <c r="P1396" t="str">
        <f>"4170064014                    "</f>
        <v xml:space="preserve">4170064014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17.46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55.42</v>
      </c>
      <c r="BM1396">
        <v>8.31</v>
      </c>
      <c r="BN1396">
        <v>63.73</v>
      </c>
      <c r="BO1396">
        <v>63.73</v>
      </c>
      <c r="BQ1396" t="s">
        <v>2178</v>
      </c>
      <c r="BR1396" t="s">
        <v>97</v>
      </c>
      <c r="BS1396" s="3">
        <v>45946</v>
      </c>
      <c r="BT1396" s="4">
        <v>0.45347222222222222</v>
      </c>
      <c r="BU1396" t="s">
        <v>2179</v>
      </c>
      <c r="BV1396" t="s">
        <v>90</v>
      </c>
      <c r="BW1396" t="s">
        <v>188</v>
      </c>
      <c r="BX1396" t="s">
        <v>1652</v>
      </c>
      <c r="BY1396">
        <v>1200</v>
      </c>
      <c r="CA1396" t="s">
        <v>1503</v>
      </c>
      <c r="CC1396" t="s">
        <v>76</v>
      </c>
      <c r="CD1396">
        <v>2163</v>
      </c>
      <c r="CE1396" t="s">
        <v>147</v>
      </c>
      <c r="CF1396" s="3">
        <v>45946</v>
      </c>
      <c r="CI1396">
        <v>1</v>
      </c>
      <c r="CJ1396">
        <v>3</v>
      </c>
      <c r="CK1396">
        <v>22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"080068491570"</f>
        <v>080068491570</v>
      </c>
      <c r="F1397" s="3">
        <v>45943</v>
      </c>
      <c r="G1397">
        <v>202607</v>
      </c>
      <c r="H1397" t="s">
        <v>79</v>
      </c>
      <c r="I1397" t="s">
        <v>80</v>
      </c>
      <c r="J1397" t="s">
        <v>91</v>
      </c>
      <c r="K1397" t="s">
        <v>78</v>
      </c>
      <c r="L1397" t="s">
        <v>121</v>
      </c>
      <c r="M1397" t="s">
        <v>122</v>
      </c>
      <c r="N1397" t="s">
        <v>1557</v>
      </c>
      <c r="O1397" t="s">
        <v>82</v>
      </c>
      <c r="P1397" t="str">
        <f>"4170064103                    "</f>
        <v xml:space="preserve">4170064103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22.36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70.959999999999994</v>
      </c>
      <c r="BM1397">
        <v>10.64</v>
      </c>
      <c r="BN1397">
        <v>81.599999999999994</v>
      </c>
      <c r="BO1397">
        <v>81.599999999999994</v>
      </c>
      <c r="BQ1397" t="s">
        <v>1558</v>
      </c>
      <c r="BR1397" t="s">
        <v>97</v>
      </c>
      <c r="BS1397" s="3">
        <v>45945</v>
      </c>
      <c r="BT1397" s="4">
        <v>0.41388888888888886</v>
      </c>
      <c r="BU1397" t="s">
        <v>1559</v>
      </c>
      <c r="BV1397" t="s">
        <v>90</v>
      </c>
      <c r="BW1397" t="s">
        <v>136</v>
      </c>
      <c r="BX1397" t="s">
        <v>787</v>
      </c>
      <c r="BY1397">
        <v>1200</v>
      </c>
      <c r="CC1397" t="s">
        <v>122</v>
      </c>
      <c r="CD1397">
        <v>4001</v>
      </c>
      <c r="CE1397" t="s">
        <v>147</v>
      </c>
      <c r="CF1397" s="3">
        <v>45945</v>
      </c>
      <c r="CI1397">
        <v>1</v>
      </c>
      <c r="CJ1397">
        <v>2</v>
      </c>
      <c r="CK1397">
        <v>21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"080068491597"</f>
        <v>080068491597</v>
      </c>
      <c r="F1398" s="3">
        <v>45943</v>
      </c>
      <c r="G1398">
        <v>202607</v>
      </c>
      <c r="H1398" t="s">
        <v>79</v>
      </c>
      <c r="I1398" t="s">
        <v>80</v>
      </c>
      <c r="J1398" t="s">
        <v>91</v>
      </c>
      <c r="K1398" t="s">
        <v>78</v>
      </c>
      <c r="L1398" t="s">
        <v>206</v>
      </c>
      <c r="M1398" t="s">
        <v>207</v>
      </c>
      <c r="N1398" t="s">
        <v>656</v>
      </c>
      <c r="O1398" t="s">
        <v>82</v>
      </c>
      <c r="P1398" t="str">
        <f>"4170064017                    "</f>
        <v xml:space="preserve">4170064017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22.36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70.959999999999994</v>
      </c>
      <c r="BM1398">
        <v>10.64</v>
      </c>
      <c r="BN1398">
        <v>81.599999999999994</v>
      </c>
      <c r="BO1398">
        <v>81.599999999999994</v>
      </c>
      <c r="BQ1398" t="s">
        <v>657</v>
      </c>
      <c r="BR1398" t="s">
        <v>97</v>
      </c>
      <c r="BS1398" s="3">
        <v>45944</v>
      </c>
      <c r="BT1398" s="4">
        <v>0.39513888888888887</v>
      </c>
      <c r="BU1398" t="s">
        <v>967</v>
      </c>
      <c r="BV1398" t="s">
        <v>86</v>
      </c>
      <c r="BY1398">
        <v>1200</v>
      </c>
      <c r="CA1398" t="s">
        <v>211</v>
      </c>
      <c r="CC1398" t="s">
        <v>207</v>
      </c>
      <c r="CD1398">
        <v>7441</v>
      </c>
      <c r="CE1398" t="s">
        <v>147</v>
      </c>
      <c r="CF1398" s="3">
        <v>45945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"080068491626"</f>
        <v>080068491626</v>
      </c>
      <c r="F1399" s="3">
        <v>45943</v>
      </c>
      <c r="G1399">
        <v>202607</v>
      </c>
      <c r="H1399" t="s">
        <v>79</v>
      </c>
      <c r="I1399" t="s">
        <v>80</v>
      </c>
      <c r="J1399" t="s">
        <v>91</v>
      </c>
      <c r="K1399" t="s">
        <v>78</v>
      </c>
      <c r="L1399" t="s">
        <v>168</v>
      </c>
      <c r="M1399" t="s">
        <v>169</v>
      </c>
      <c r="N1399" t="s">
        <v>688</v>
      </c>
      <c r="O1399" t="s">
        <v>82</v>
      </c>
      <c r="P1399" t="str">
        <f>"4170064010                    "</f>
        <v xml:space="preserve">4170064010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22.36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70.959999999999994</v>
      </c>
      <c r="BM1399">
        <v>10.64</v>
      </c>
      <c r="BN1399">
        <v>81.599999999999994</v>
      </c>
      <c r="BO1399">
        <v>81.599999999999994</v>
      </c>
      <c r="BQ1399" t="s">
        <v>689</v>
      </c>
      <c r="BR1399" t="s">
        <v>97</v>
      </c>
      <c r="BS1399" s="3">
        <v>45944</v>
      </c>
      <c r="BT1399" s="4">
        <v>0.42986111111111114</v>
      </c>
      <c r="BU1399" t="s">
        <v>1151</v>
      </c>
      <c r="BV1399" t="s">
        <v>86</v>
      </c>
      <c r="BY1399">
        <v>1200</v>
      </c>
      <c r="CA1399">
        <v>8303236124087</v>
      </c>
      <c r="CC1399" t="s">
        <v>169</v>
      </c>
      <c r="CD1399" s="5" t="s">
        <v>190</v>
      </c>
      <c r="CE1399" t="s">
        <v>147</v>
      </c>
      <c r="CF1399" s="3">
        <v>45944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"080068491644"</f>
        <v>080068491644</v>
      </c>
      <c r="F1400" s="3">
        <v>45943</v>
      </c>
      <c r="G1400">
        <v>202607</v>
      </c>
      <c r="H1400" t="s">
        <v>79</v>
      </c>
      <c r="I1400" t="s">
        <v>80</v>
      </c>
      <c r="J1400" t="s">
        <v>91</v>
      </c>
      <c r="K1400" t="s">
        <v>78</v>
      </c>
      <c r="L1400" t="s">
        <v>206</v>
      </c>
      <c r="M1400" t="s">
        <v>207</v>
      </c>
      <c r="N1400" t="s">
        <v>656</v>
      </c>
      <c r="O1400" t="s">
        <v>82</v>
      </c>
      <c r="P1400" t="str">
        <f>"4170063927                    "</f>
        <v xml:space="preserve">4170063927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22.36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70.959999999999994</v>
      </c>
      <c r="BM1400">
        <v>10.64</v>
      </c>
      <c r="BN1400">
        <v>81.599999999999994</v>
      </c>
      <c r="BO1400">
        <v>81.599999999999994</v>
      </c>
      <c r="BQ1400" t="s">
        <v>657</v>
      </c>
      <c r="BR1400" t="s">
        <v>97</v>
      </c>
      <c r="BS1400" s="3">
        <v>45944</v>
      </c>
      <c r="BT1400" s="4">
        <v>0.39513888888888887</v>
      </c>
      <c r="BU1400" t="s">
        <v>967</v>
      </c>
      <c r="BV1400" t="s">
        <v>86</v>
      </c>
      <c r="BY1400">
        <v>1200</v>
      </c>
      <c r="CA1400" t="s">
        <v>211</v>
      </c>
      <c r="CC1400" t="s">
        <v>207</v>
      </c>
      <c r="CD1400">
        <v>7441</v>
      </c>
      <c r="CE1400" t="s">
        <v>147</v>
      </c>
      <c r="CF1400" s="3">
        <v>45945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"080068491661"</f>
        <v>080068491661</v>
      </c>
      <c r="F1401" s="3">
        <v>45943</v>
      </c>
      <c r="G1401">
        <v>202607</v>
      </c>
      <c r="H1401" t="s">
        <v>79</v>
      </c>
      <c r="I1401" t="s">
        <v>80</v>
      </c>
      <c r="J1401" t="s">
        <v>91</v>
      </c>
      <c r="K1401" t="s">
        <v>78</v>
      </c>
      <c r="L1401" t="s">
        <v>271</v>
      </c>
      <c r="M1401" t="s">
        <v>272</v>
      </c>
      <c r="N1401" t="s">
        <v>1188</v>
      </c>
      <c r="O1401" t="s">
        <v>82</v>
      </c>
      <c r="P1401" t="str">
        <f>"4170064005                    "</f>
        <v xml:space="preserve">4170064005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17.46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55.42</v>
      </c>
      <c r="BM1401">
        <v>8.31</v>
      </c>
      <c r="BN1401">
        <v>63.73</v>
      </c>
      <c r="BO1401">
        <v>63.73</v>
      </c>
      <c r="BQ1401" t="s">
        <v>1189</v>
      </c>
      <c r="BR1401" t="s">
        <v>97</v>
      </c>
      <c r="BS1401" s="3">
        <v>45944</v>
      </c>
      <c r="BT1401" s="4">
        <v>0.40069444444444446</v>
      </c>
      <c r="BU1401" t="s">
        <v>2180</v>
      </c>
      <c r="BV1401" t="s">
        <v>86</v>
      </c>
      <c r="BY1401">
        <v>1200</v>
      </c>
      <c r="CA1401" t="s">
        <v>661</v>
      </c>
      <c r="CC1401" t="s">
        <v>272</v>
      </c>
      <c r="CD1401">
        <v>1428</v>
      </c>
      <c r="CE1401" t="s">
        <v>147</v>
      </c>
      <c r="CF1401" s="3">
        <v>45945</v>
      </c>
      <c r="CI1401">
        <v>1</v>
      </c>
      <c r="CJ1401">
        <v>1</v>
      </c>
      <c r="CK1401">
        <v>22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"080068492127"</f>
        <v>080068492127</v>
      </c>
      <c r="F1402" s="3">
        <v>45943</v>
      </c>
      <c r="G1402">
        <v>202607</v>
      </c>
      <c r="H1402" t="s">
        <v>79</v>
      </c>
      <c r="I1402" t="s">
        <v>80</v>
      </c>
      <c r="J1402" t="s">
        <v>91</v>
      </c>
      <c r="K1402" t="s">
        <v>78</v>
      </c>
      <c r="L1402" t="s">
        <v>121</v>
      </c>
      <c r="M1402" t="s">
        <v>122</v>
      </c>
      <c r="N1402" t="s">
        <v>1993</v>
      </c>
      <c r="O1402" t="s">
        <v>82</v>
      </c>
      <c r="P1402" t="str">
        <f>"4170064112                    "</f>
        <v xml:space="preserve">4170064112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22.36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70.959999999999994</v>
      </c>
      <c r="BM1402">
        <v>10.64</v>
      </c>
      <c r="BN1402">
        <v>81.599999999999994</v>
      </c>
      <c r="BO1402">
        <v>81.599999999999994</v>
      </c>
      <c r="BQ1402" t="s">
        <v>1994</v>
      </c>
      <c r="BR1402" t="s">
        <v>97</v>
      </c>
      <c r="BS1402" s="3">
        <v>45944</v>
      </c>
      <c r="BT1402" s="4">
        <v>0.6694444444444444</v>
      </c>
      <c r="BU1402" t="s">
        <v>1995</v>
      </c>
      <c r="BV1402" t="s">
        <v>90</v>
      </c>
      <c r="BW1402" t="s">
        <v>136</v>
      </c>
      <c r="BX1402" t="s">
        <v>1222</v>
      </c>
      <c r="BY1402">
        <v>1200</v>
      </c>
      <c r="CA1402" t="s">
        <v>1996</v>
      </c>
      <c r="CC1402" t="s">
        <v>122</v>
      </c>
      <c r="CD1402">
        <v>4068</v>
      </c>
      <c r="CE1402" t="s">
        <v>147</v>
      </c>
      <c r="CF1402" s="3">
        <v>45944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"080068492130"</f>
        <v>080068492130</v>
      </c>
      <c r="F1403" s="3">
        <v>45943</v>
      </c>
      <c r="G1403">
        <v>202607</v>
      </c>
      <c r="H1403" t="s">
        <v>79</v>
      </c>
      <c r="I1403" t="s">
        <v>80</v>
      </c>
      <c r="J1403" t="s">
        <v>91</v>
      </c>
      <c r="K1403" t="s">
        <v>78</v>
      </c>
      <c r="L1403" t="s">
        <v>530</v>
      </c>
      <c r="M1403" t="s">
        <v>531</v>
      </c>
      <c r="N1403" t="s">
        <v>754</v>
      </c>
      <c r="O1403" t="s">
        <v>82</v>
      </c>
      <c r="P1403" t="str">
        <f>"4170064002                    "</f>
        <v xml:space="preserve">4170064002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92.21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4</v>
      </c>
      <c r="BJ1403">
        <v>4.0999999999999996</v>
      </c>
      <c r="BK1403">
        <v>4.5</v>
      </c>
      <c r="BL1403">
        <v>292.67</v>
      </c>
      <c r="BM1403">
        <v>43.9</v>
      </c>
      <c r="BN1403">
        <v>336.57</v>
      </c>
      <c r="BO1403">
        <v>336.57</v>
      </c>
      <c r="BQ1403" t="s">
        <v>755</v>
      </c>
      <c r="BR1403" t="s">
        <v>97</v>
      </c>
      <c r="BS1403" s="3">
        <v>45944</v>
      </c>
      <c r="BT1403" s="4">
        <v>0.56180555555555556</v>
      </c>
      <c r="BU1403" t="s">
        <v>2170</v>
      </c>
      <c r="BV1403" t="s">
        <v>86</v>
      </c>
      <c r="BY1403">
        <v>20358</v>
      </c>
      <c r="CA1403" t="s">
        <v>1245</v>
      </c>
      <c r="CC1403" t="s">
        <v>531</v>
      </c>
      <c r="CD1403">
        <v>6850</v>
      </c>
      <c r="CE1403" t="s">
        <v>191</v>
      </c>
      <c r="CF1403" s="3">
        <v>45945</v>
      </c>
      <c r="CI1403">
        <v>2</v>
      </c>
      <c r="CJ1403">
        <v>1</v>
      </c>
      <c r="CK1403">
        <v>23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"080068492151"</f>
        <v>080068492151</v>
      </c>
      <c r="F1404" s="3">
        <v>45943</v>
      </c>
      <c r="G1404">
        <v>202607</v>
      </c>
      <c r="H1404" t="s">
        <v>79</v>
      </c>
      <c r="I1404" t="s">
        <v>80</v>
      </c>
      <c r="J1404" t="s">
        <v>91</v>
      </c>
      <c r="K1404" t="s">
        <v>78</v>
      </c>
      <c r="L1404" t="s">
        <v>206</v>
      </c>
      <c r="M1404" t="s">
        <v>207</v>
      </c>
      <c r="N1404" t="s">
        <v>427</v>
      </c>
      <c r="O1404" t="s">
        <v>82</v>
      </c>
      <c r="P1404" t="str">
        <f>"4170064063                    "</f>
        <v xml:space="preserve">4170064063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22.36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70.959999999999994</v>
      </c>
      <c r="BM1404">
        <v>10.64</v>
      </c>
      <c r="BN1404">
        <v>81.599999999999994</v>
      </c>
      <c r="BO1404">
        <v>81.599999999999994</v>
      </c>
      <c r="BQ1404" t="s">
        <v>428</v>
      </c>
      <c r="BR1404" t="s">
        <v>97</v>
      </c>
      <c r="BS1404" s="3">
        <v>45944</v>
      </c>
      <c r="BT1404" s="4">
        <v>0.3125</v>
      </c>
      <c r="BU1404" t="s">
        <v>429</v>
      </c>
      <c r="BV1404" t="s">
        <v>86</v>
      </c>
      <c r="BY1404">
        <v>1200</v>
      </c>
      <c r="CA1404" t="s">
        <v>423</v>
      </c>
      <c r="CC1404" t="s">
        <v>207</v>
      </c>
      <c r="CD1404">
        <v>7530</v>
      </c>
      <c r="CE1404" t="s">
        <v>147</v>
      </c>
      <c r="CF1404" s="3">
        <v>45945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"080068492176"</f>
        <v>080068492176</v>
      </c>
      <c r="F1405" s="3">
        <v>45943</v>
      </c>
      <c r="G1405">
        <v>202607</v>
      </c>
      <c r="H1405" t="s">
        <v>79</v>
      </c>
      <c r="I1405" t="s">
        <v>80</v>
      </c>
      <c r="J1405" t="s">
        <v>91</v>
      </c>
      <c r="K1405" t="s">
        <v>78</v>
      </c>
      <c r="L1405" t="s">
        <v>108</v>
      </c>
      <c r="M1405" t="s">
        <v>109</v>
      </c>
      <c r="N1405" t="s">
        <v>229</v>
      </c>
      <c r="O1405" t="s">
        <v>82</v>
      </c>
      <c r="P1405" t="str">
        <f>"4170064032                    "</f>
        <v xml:space="preserve">4170064032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22.36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70.959999999999994</v>
      </c>
      <c r="BM1405">
        <v>10.64</v>
      </c>
      <c r="BN1405">
        <v>81.599999999999994</v>
      </c>
      <c r="BO1405">
        <v>81.599999999999994</v>
      </c>
      <c r="BQ1405" t="s">
        <v>230</v>
      </c>
      <c r="BR1405" t="s">
        <v>97</v>
      </c>
      <c r="BS1405" s="3">
        <v>45944</v>
      </c>
      <c r="BT1405" s="4">
        <v>0.38750000000000001</v>
      </c>
      <c r="BU1405" t="s">
        <v>1959</v>
      </c>
      <c r="BV1405" t="s">
        <v>86</v>
      </c>
      <c r="BY1405">
        <v>1200</v>
      </c>
      <c r="CA1405" t="s">
        <v>1145</v>
      </c>
      <c r="CC1405" t="s">
        <v>109</v>
      </c>
      <c r="CD1405">
        <v>6001</v>
      </c>
      <c r="CE1405" t="s">
        <v>147</v>
      </c>
      <c r="CF1405" s="3">
        <v>45944</v>
      </c>
      <c r="CI1405">
        <v>1</v>
      </c>
      <c r="CJ1405">
        <v>1</v>
      </c>
      <c r="CK1405">
        <v>21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"080068492190"</f>
        <v>080068492190</v>
      </c>
      <c r="F1406" s="3">
        <v>45943</v>
      </c>
      <c r="G1406">
        <v>202607</v>
      </c>
      <c r="H1406" t="s">
        <v>79</v>
      </c>
      <c r="I1406" t="s">
        <v>80</v>
      </c>
      <c r="J1406" t="s">
        <v>91</v>
      </c>
      <c r="K1406" t="s">
        <v>78</v>
      </c>
      <c r="L1406" t="s">
        <v>148</v>
      </c>
      <c r="M1406" t="s">
        <v>149</v>
      </c>
      <c r="N1406" t="s">
        <v>1248</v>
      </c>
      <c r="O1406" t="s">
        <v>226</v>
      </c>
      <c r="P1406" t="str">
        <f>"4170064086                    "</f>
        <v xml:space="preserve">4170064086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17.47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1.7</v>
      </c>
      <c r="BK1406">
        <v>4</v>
      </c>
      <c r="BL1406">
        <v>55.44</v>
      </c>
      <c r="BM1406">
        <v>8.32</v>
      </c>
      <c r="BN1406">
        <v>63.76</v>
      </c>
      <c r="BO1406">
        <v>63.76</v>
      </c>
      <c r="BQ1406" t="s">
        <v>1249</v>
      </c>
      <c r="BR1406" t="s">
        <v>97</v>
      </c>
      <c r="BS1406" s="3">
        <v>45946</v>
      </c>
      <c r="BT1406" s="4">
        <v>0.49583333333333335</v>
      </c>
      <c r="BU1406" t="s">
        <v>554</v>
      </c>
      <c r="BV1406" t="s">
        <v>90</v>
      </c>
      <c r="BY1406">
        <v>8550</v>
      </c>
      <c r="CA1406" t="s">
        <v>555</v>
      </c>
      <c r="CC1406" t="s">
        <v>149</v>
      </c>
      <c r="CD1406">
        <v>2047</v>
      </c>
      <c r="CE1406" t="s">
        <v>191</v>
      </c>
      <c r="CF1406" s="3">
        <v>45946</v>
      </c>
      <c r="CI1406">
        <v>1</v>
      </c>
      <c r="CJ1406">
        <v>3</v>
      </c>
      <c r="CK1406">
        <v>32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"080068492201"</f>
        <v>080068492201</v>
      </c>
      <c r="F1407" s="3">
        <v>45943</v>
      </c>
      <c r="G1407">
        <v>202607</v>
      </c>
      <c r="H1407" t="s">
        <v>79</v>
      </c>
      <c r="I1407" t="s">
        <v>80</v>
      </c>
      <c r="J1407" t="s">
        <v>91</v>
      </c>
      <c r="K1407" t="s">
        <v>78</v>
      </c>
      <c r="L1407" t="s">
        <v>114</v>
      </c>
      <c r="M1407" t="s">
        <v>115</v>
      </c>
      <c r="N1407" t="s">
        <v>881</v>
      </c>
      <c r="O1407" t="s">
        <v>82</v>
      </c>
      <c r="P1407" t="str">
        <f>"4170064044                    "</f>
        <v xml:space="preserve">4170064044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22.36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70.959999999999994</v>
      </c>
      <c r="BM1407">
        <v>10.64</v>
      </c>
      <c r="BN1407">
        <v>81.599999999999994</v>
      </c>
      <c r="BO1407">
        <v>81.599999999999994</v>
      </c>
      <c r="BQ1407" t="s">
        <v>882</v>
      </c>
      <c r="BR1407" t="s">
        <v>97</v>
      </c>
      <c r="BS1407" s="3">
        <v>45944</v>
      </c>
      <c r="BT1407" s="4">
        <v>0.51180555555555551</v>
      </c>
      <c r="BU1407" t="s">
        <v>1293</v>
      </c>
      <c r="BV1407" t="s">
        <v>90</v>
      </c>
      <c r="BY1407">
        <v>1200</v>
      </c>
      <c r="CA1407" t="s">
        <v>749</v>
      </c>
      <c r="CC1407" t="s">
        <v>115</v>
      </c>
      <c r="CD1407">
        <v>5201</v>
      </c>
      <c r="CE1407" t="s">
        <v>147</v>
      </c>
      <c r="CF1407" s="3">
        <v>45945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"080068492227"</f>
        <v>080068492227</v>
      </c>
      <c r="F1408" s="3">
        <v>45943</v>
      </c>
      <c r="G1408">
        <v>202607</v>
      </c>
      <c r="H1408" t="s">
        <v>79</v>
      </c>
      <c r="I1408" t="s">
        <v>80</v>
      </c>
      <c r="J1408" t="s">
        <v>91</v>
      </c>
      <c r="K1408" t="s">
        <v>78</v>
      </c>
      <c r="L1408" t="s">
        <v>453</v>
      </c>
      <c r="M1408" t="s">
        <v>454</v>
      </c>
      <c r="N1408" t="s">
        <v>665</v>
      </c>
      <c r="O1408" t="s">
        <v>82</v>
      </c>
      <c r="P1408" t="str">
        <f>"4170064108                    "</f>
        <v xml:space="preserve">4170064108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22.36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2</v>
      </c>
      <c r="BJ1408">
        <v>1.1000000000000001</v>
      </c>
      <c r="BK1408">
        <v>2</v>
      </c>
      <c r="BL1408">
        <v>70.959999999999994</v>
      </c>
      <c r="BM1408">
        <v>10.64</v>
      </c>
      <c r="BN1408">
        <v>81.599999999999994</v>
      </c>
      <c r="BO1408">
        <v>81.599999999999994</v>
      </c>
      <c r="BQ1408" t="s">
        <v>666</v>
      </c>
      <c r="BR1408" t="s">
        <v>97</v>
      </c>
      <c r="BS1408" s="3">
        <v>45944</v>
      </c>
      <c r="BT1408" s="4">
        <v>0.43611111111111112</v>
      </c>
      <c r="BU1408" t="s">
        <v>2181</v>
      </c>
      <c r="BV1408" t="s">
        <v>86</v>
      </c>
      <c r="BY1408">
        <v>5510</v>
      </c>
      <c r="CA1408" t="s">
        <v>742</v>
      </c>
      <c r="CC1408" t="s">
        <v>454</v>
      </c>
      <c r="CD1408">
        <v>3610</v>
      </c>
      <c r="CE1408" t="s">
        <v>191</v>
      </c>
      <c r="CF1408" s="3">
        <v>45945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"080068492235"</f>
        <v>080068492235</v>
      </c>
      <c r="F1409" s="3">
        <v>45943</v>
      </c>
      <c r="G1409">
        <v>202607</v>
      </c>
      <c r="H1409" t="s">
        <v>79</v>
      </c>
      <c r="I1409" t="s">
        <v>80</v>
      </c>
      <c r="J1409" t="s">
        <v>91</v>
      </c>
      <c r="K1409" t="s">
        <v>78</v>
      </c>
      <c r="L1409" t="s">
        <v>114</v>
      </c>
      <c r="M1409" t="s">
        <v>115</v>
      </c>
      <c r="N1409" t="s">
        <v>881</v>
      </c>
      <c r="O1409" t="s">
        <v>82</v>
      </c>
      <c r="P1409" t="str">
        <f>"4170064018                    "</f>
        <v xml:space="preserve">4170064018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22.36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70.959999999999994</v>
      </c>
      <c r="BM1409">
        <v>10.64</v>
      </c>
      <c r="BN1409">
        <v>81.599999999999994</v>
      </c>
      <c r="BO1409">
        <v>81.599999999999994</v>
      </c>
      <c r="BQ1409" t="s">
        <v>882</v>
      </c>
      <c r="BR1409" t="s">
        <v>97</v>
      </c>
      <c r="BS1409" s="3">
        <v>45944</v>
      </c>
      <c r="BT1409" s="4">
        <v>0.51180555555555551</v>
      </c>
      <c r="BU1409" t="s">
        <v>1293</v>
      </c>
      <c r="BV1409" t="s">
        <v>90</v>
      </c>
      <c r="BY1409">
        <v>1200</v>
      </c>
      <c r="CA1409" t="s">
        <v>749</v>
      </c>
      <c r="CC1409" t="s">
        <v>115</v>
      </c>
      <c r="CD1409">
        <v>5201</v>
      </c>
      <c r="CE1409" t="s">
        <v>147</v>
      </c>
      <c r="CF1409" s="3">
        <v>45945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"080068492275"</f>
        <v>080068492275</v>
      </c>
      <c r="F1410" s="3">
        <v>45943</v>
      </c>
      <c r="G1410">
        <v>202607</v>
      </c>
      <c r="H1410" t="s">
        <v>79</v>
      </c>
      <c r="I1410" t="s">
        <v>80</v>
      </c>
      <c r="J1410" t="s">
        <v>91</v>
      </c>
      <c r="K1410" t="s">
        <v>78</v>
      </c>
      <c r="L1410" t="s">
        <v>487</v>
      </c>
      <c r="M1410" t="s">
        <v>488</v>
      </c>
      <c r="N1410" t="s">
        <v>489</v>
      </c>
      <c r="O1410" t="s">
        <v>82</v>
      </c>
      <c r="P1410" t="str">
        <f>"4170064074                    "</f>
        <v xml:space="preserve">4170064074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43.31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137.47</v>
      </c>
      <c r="BM1410">
        <v>20.62</v>
      </c>
      <c r="BN1410">
        <v>158.09</v>
      </c>
      <c r="BO1410">
        <v>158.09</v>
      </c>
      <c r="BQ1410" t="s">
        <v>490</v>
      </c>
      <c r="BR1410" t="s">
        <v>97</v>
      </c>
      <c r="BS1410" s="3">
        <v>45944</v>
      </c>
      <c r="BT1410" s="4">
        <v>0.47916666666666669</v>
      </c>
      <c r="BU1410" t="s">
        <v>2182</v>
      </c>
      <c r="BV1410" t="s">
        <v>86</v>
      </c>
      <c r="BY1410">
        <v>1200</v>
      </c>
      <c r="CA1410" t="s">
        <v>2183</v>
      </c>
      <c r="CC1410" t="s">
        <v>488</v>
      </c>
      <c r="CD1410">
        <v>6715</v>
      </c>
      <c r="CE1410" t="s">
        <v>147</v>
      </c>
      <c r="CF1410" s="3">
        <v>45945</v>
      </c>
      <c r="CI1410">
        <v>2</v>
      </c>
      <c r="CJ1410">
        <v>1</v>
      </c>
      <c r="CK1410">
        <v>23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"080068492284"</f>
        <v>080068492284</v>
      </c>
      <c r="F1411" s="3">
        <v>45943</v>
      </c>
      <c r="G1411">
        <v>202607</v>
      </c>
      <c r="H1411" t="s">
        <v>79</v>
      </c>
      <c r="I1411" t="s">
        <v>80</v>
      </c>
      <c r="J1411" t="s">
        <v>91</v>
      </c>
      <c r="K1411" t="s">
        <v>78</v>
      </c>
      <c r="L1411" t="s">
        <v>148</v>
      </c>
      <c r="M1411" t="s">
        <v>149</v>
      </c>
      <c r="N1411" t="s">
        <v>465</v>
      </c>
      <c r="O1411" t="s">
        <v>226</v>
      </c>
      <c r="P1411" t="str">
        <f>"4170064040                    "</f>
        <v xml:space="preserve">4170064040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17.47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5.6</v>
      </c>
      <c r="BJ1411">
        <v>3</v>
      </c>
      <c r="BK1411">
        <v>6</v>
      </c>
      <c r="BL1411">
        <v>55.44</v>
      </c>
      <c r="BM1411">
        <v>8.32</v>
      </c>
      <c r="BN1411">
        <v>63.76</v>
      </c>
      <c r="BO1411">
        <v>63.76</v>
      </c>
      <c r="BQ1411" t="s">
        <v>466</v>
      </c>
      <c r="BR1411" t="s">
        <v>97</v>
      </c>
      <c r="BS1411" s="3">
        <v>45944</v>
      </c>
      <c r="BT1411" s="4">
        <v>0.42291666666666666</v>
      </c>
      <c r="BU1411" t="s">
        <v>1536</v>
      </c>
      <c r="BV1411" t="s">
        <v>86</v>
      </c>
      <c r="BY1411">
        <v>14994.98</v>
      </c>
      <c r="CA1411" t="s">
        <v>519</v>
      </c>
      <c r="CC1411" t="s">
        <v>149</v>
      </c>
      <c r="CD1411">
        <v>2094</v>
      </c>
      <c r="CE1411" t="s">
        <v>107</v>
      </c>
      <c r="CF1411" s="3">
        <v>45944</v>
      </c>
      <c r="CI1411">
        <v>1</v>
      </c>
      <c r="CJ1411">
        <v>1</v>
      </c>
      <c r="CK1411">
        <v>32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"080068492300"</f>
        <v>080068492300</v>
      </c>
      <c r="F1412" s="3">
        <v>45943</v>
      </c>
      <c r="G1412">
        <v>202607</v>
      </c>
      <c r="H1412" t="s">
        <v>79</v>
      </c>
      <c r="I1412" t="s">
        <v>80</v>
      </c>
      <c r="J1412" t="s">
        <v>91</v>
      </c>
      <c r="K1412" t="s">
        <v>78</v>
      </c>
      <c r="L1412" t="s">
        <v>121</v>
      </c>
      <c r="M1412" t="s">
        <v>122</v>
      </c>
      <c r="N1412" t="s">
        <v>1557</v>
      </c>
      <c r="O1412" t="s">
        <v>82</v>
      </c>
      <c r="P1412" t="str">
        <f>"4170064098                    "</f>
        <v xml:space="preserve">4170064098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22.36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70.959999999999994</v>
      </c>
      <c r="BM1412">
        <v>10.64</v>
      </c>
      <c r="BN1412">
        <v>81.599999999999994</v>
      </c>
      <c r="BO1412">
        <v>81.599999999999994</v>
      </c>
      <c r="BQ1412" t="s">
        <v>1558</v>
      </c>
      <c r="BR1412" t="s">
        <v>97</v>
      </c>
      <c r="BS1412" s="3">
        <v>45944</v>
      </c>
      <c r="BT1412" s="4">
        <v>0.59861111111111109</v>
      </c>
      <c r="BU1412" t="s">
        <v>1559</v>
      </c>
      <c r="BV1412" t="s">
        <v>90</v>
      </c>
      <c r="BW1412" t="s">
        <v>136</v>
      </c>
      <c r="BX1412" t="s">
        <v>858</v>
      </c>
      <c r="BY1412">
        <v>1200</v>
      </c>
      <c r="CA1412" t="s">
        <v>1114</v>
      </c>
      <c r="CC1412" t="s">
        <v>122</v>
      </c>
      <c r="CD1412">
        <v>4001</v>
      </c>
      <c r="CE1412" t="s">
        <v>147</v>
      </c>
      <c r="CF1412" s="3">
        <v>45945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"080068492327"</f>
        <v>080068492327</v>
      </c>
      <c r="F1413" s="3">
        <v>45943</v>
      </c>
      <c r="G1413">
        <v>202607</v>
      </c>
      <c r="H1413" t="s">
        <v>79</v>
      </c>
      <c r="I1413" t="s">
        <v>80</v>
      </c>
      <c r="J1413" t="s">
        <v>91</v>
      </c>
      <c r="K1413" t="s">
        <v>78</v>
      </c>
      <c r="L1413" t="s">
        <v>108</v>
      </c>
      <c r="M1413" t="s">
        <v>109</v>
      </c>
      <c r="N1413" t="s">
        <v>365</v>
      </c>
      <c r="O1413" t="s">
        <v>82</v>
      </c>
      <c r="P1413" t="str">
        <f>"4170064033                    "</f>
        <v xml:space="preserve">4170064033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22.36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70.959999999999994</v>
      </c>
      <c r="BM1413">
        <v>10.64</v>
      </c>
      <c r="BN1413">
        <v>81.599999999999994</v>
      </c>
      <c r="BO1413">
        <v>81.599999999999994</v>
      </c>
      <c r="BQ1413" t="s">
        <v>366</v>
      </c>
      <c r="BR1413" t="s">
        <v>97</v>
      </c>
      <c r="BS1413" s="3">
        <v>45944</v>
      </c>
      <c r="BT1413" s="4">
        <v>0.39652777777777776</v>
      </c>
      <c r="BU1413" t="s">
        <v>1992</v>
      </c>
      <c r="BV1413" t="s">
        <v>86</v>
      </c>
      <c r="BY1413">
        <v>1200</v>
      </c>
      <c r="CA1413" t="s">
        <v>1145</v>
      </c>
      <c r="CC1413" t="s">
        <v>109</v>
      </c>
      <c r="CD1413">
        <v>6056</v>
      </c>
      <c r="CE1413" t="s">
        <v>147</v>
      </c>
      <c r="CF1413" s="3">
        <v>45944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"080068492493"</f>
        <v>080068492493</v>
      </c>
      <c r="F1414" s="3">
        <v>45943</v>
      </c>
      <c r="G1414">
        <v>202607</v>
      </c>
      <c r="H1414" t="s">
        <v>79</v>
      </c>
      <c r="I1414" t="s">
        <v>80</v>
      </c>
      <c r="J1414" t="s">
        <v>91</v>
      </c>
      <c r="K1414" t="s">
        <v>78</v>
      </c>
      <c r="L1414" t="s">
        <v>605</v>
      </c>
      <c r="M1414" t="s">
        <v>606</v>
      </c>
      <c r="N1414" t="s">
        <v>976</v>
      </c>
      <c r="O1414" t="s">
        <v>95</v>
      </c>
      <c r="P1414" t="str">
        <f>"4170064102                    "</f>
        <v xml:space="preserve">4170064102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70.319999999999993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9</v>
      </c>
      <c r="BJ1414">
        <v>17.5</v>
      </c>
      <c r="BK1414">
        <v>18</v>
      </c>
      <c r="BL1414">
        <v>229.05</v>
      </c>
      <c r="BM1414">
        <v>34.36</v>
      </c>
      <c r="BN1414">
        <v>263.41000000000003</v>
      </c>
      <c r="BO1414">
        <v>263.41000000000003</v>
      </c>
      <c r="BQ1414" t="s">
        <v>977</v>
      </c>
      <c r="BR1414" t="s">
        <v>97</v>
      </c>
      <c r="BS1414" s="3">
        <v>45944</v>
      </c>
      <c r="BT1414" s="4">
        <v>0.43194444444444446</v>
      </c>
      <c r="BU1414" t="s">
        <v>2184</v>
      </c>
      <c r="BV1414" t="s">
        <v>86</v>
      </c>
      <c r="BY1414">
        <v>87552</v>
      </c>
      <c r="CA1414" t="s">
        <v>1143</v>
      </c>
      <c r="CC1414" t="s">
        <v>606</v>
      </c>
      <c r="CD1414">
        <v>1947</v>
      </c>
      <c r="CE1414" t="s">
        <v>107</v>
      </c>
      <c r="CF1414" s="3">
        <v>45945</v>
      </c>
      <c r="CI1414">
        <v>1</v>
      </c>
      <c r="CJ1414">
        <v>1</v>
      </c>
      <c r="CK1414">
        <v>43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"080068492529"</f>
        <v>080068492529</v>
      </c>
      <c r="F1415" s="3">
        <v>45943</v>
      </c>
      <c r="G1415">
        <v>202607</v>
      </c>
      <c r="H1415" t="s">
        <v>79</v>
      </c>
      <c r="I1415" t="s">
        <v>80</v>
      </c>
      <c r="J1415" t="s">
        <v>91</v>
      </c>
      <c r="K1415" t="s">
        <v>78</v>
      </c>
      <c r="L1415" t="s">
        <v>108</v>
      </c>
      <c r="M1415" t="s">
        <v>109</v>
      </c>
      <c r="N1415" t="s">
        <v>515</v>
      </c>
      <c r="O1415" t="s">
        <v>82</v>
      </c>
      <c r="P1415" t="str">
        <f>"4170064094                    "</f>
        <v xml:space="preserve">4170064094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22.36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70.959999999999994</v>
      </c>
      <c r="BM1415">
        <v>10.64</v>
      </c>
      <c r="BN1415">
        <v>81.599999999999994</v>
      </c>
      <c r="BO1415">
        <v>81.599999999999994</v>
      </c>
      <c r="BQ1415" t="s">
        <v>516</v>
      </c>
      <c r="BR1415" t="s">
        <v>97</v>
      </c>
      <c r="BS1415" s="3">
        <v>45944</v>
      </c>
      <c r="BT1415" s="4">
        <v>0.42569444444444443</v>
      </c>
      <c r="BU1415" t="s">
        <v>517</v>
      </c>
      <c r="BV1415" t="s">
        <v>86</v>
      </c>
      <c r="BY1415">
        <v>1200</v>
      </c>
      <c r="CA1415" t="s">
        <v>113</v>
      </c>
      <c r="CC1415" t="s">
        <v>109</v>
      </c>
      <c r="CD1415">
        <v>6001</v>
      </c>
      <c r="CE1415" t="s">
        <v>147</v>
      </c>
      <c r="CF1415" s="3">
        <v>45944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"080068492556"</f>
        <v>080068492556</v>
      </c>
      <c r="F1416" s="3">
        <v>45943</v>
      </c>
      <c r="G1416">
        <v>202607</v>
      </c>
      <c r="H1416" t="s">
        <v>79</v>
      </c>
      <c r="I1416" t="s">
        <v>80</v>
      </c>
      <c r="J1416" t="s">
        <v>91</v>
      </c>
      <c r="K1416" t="s">
        <v>78</v>
      </c>
      <c r="L1416" t="s">
        <v>206</v>
      </c>
      <c r="M1416" t="s">
        <v>207</v>
      </c>
      <c r="N1416" t="s">
        <v>427</v>
      </c>
      <c r="O1416" t="s">
        <v>82</v>
      </c>
      <c r="P1416" t="str">
        <f>"4170064082                    "</f>
        <v xml:space="preserve">4170064082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22.36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70.959999999999994</v>
      </c>
      <c r="BM1416">
        <v>10.64</v>
      </c>
      <c r="BN1416">
        <v>81.599999999999994</v>
      </c>
      <c r="BO1416">
        <v>81.599999999999994</v>
      </c>
      <c r="BQ1416" t="s">
        <v>428</v>
      </c>
      <c r="BR1416" t="s">
        <v>97</v>
      </c>
      <c r="BS1416" s="3">
        <v>45944</v>
      </c>
      <c r="BT1416" s="4">
        <v>0.3125</v>
      </c>
      <c r="BU1416" t="s">
        <v>429</v>
      </c>
      <c r="BV1416" t="s">
        <v>86</v>
      </c>
      <c r="BY1416">
        <v>1200</v>
      </c>
      <c r="CA1416" t="s">
        <v>423</v>
      </c>
      <c r="CC1416" t="s">
        <v>207</v>
      </c>
      <c r="CD1416">
        <v>7530</v>
      </c>
      <c r="CE1416" t="s">
        <v>147</v>
      </c>
      <c r="CF1416" s="3">
        <v>45945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"080068493627"</f>
        <v>080068493627</v>
      </c>
      <c r="F1417" s="3">
        <v>45943</v>
      </c>
      <c r="G1417">
        <v>202607</v>
      </c>
      <c r="H1417" t="s">
        <v>79</v>
      </c>
      <c r="I1417" t="s">
        <v>80</v>
      </c>
      <c r="J1417" t="s">
        <v>91</v>
      </c>
      <c r="K1417" t="s">
        <v>78</v>
      </c>
      <c r="L1417" t="s">
        <v>148</v>
      </c>
      <c r="M1417" t="s">
        <v>149</v>
      </c>
      <c r="N1417" t="s">
        <v>869</v>
      </c>
      <c r="O1417" t="s">
        <v>82</v>
      </c>
      <c r="P1417" t="str">
        <f>"4170063994                    "</f>
        <v xml:space="preserve">4170063994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17.46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55.42</v>
      </c>
      <c r="BM1417">
        <v>8.31</v>
      </c>
      <c r="BN1417">
        <v>63.73</v>
      </c>
      <c r="BO1417">
        <v>63.73</v>
      </c>
      <c r="BQ1417" t="s">
        <v>870</v>
      </c>
      <c r="BR1417" t="s">
        <v>97</v>
      </c>
      <c r="BS1417" s="3">
        <v>45945</v>
      </c>
      <c r="BT1417" s="4">
        <v>0.39097222222222222</v>
      </c>
      <c r="BU1417" t="s">
        <v>2185</v>
      </c>
      <c r="BV1417" t="s">
        <v>90</v>
      </c>
      <c r="BW1417" t="s">
        <v>188</v>
      </c>
      <c r="BX1417" t="s">
        <v>772</v>
      </c>
      <c r="BY1417">
        <v>1200</v>
      </c>
      <c r="CC1417" t="s">
        <v>149</v>
      </c>
      <c r="CD1417">
        <v>2092</v>
      </c>
      <c r="CE1417" t="s">
        <v>147</v>
      </c>
      <c r="CF1417" s="3">
        <v>45946</v>
      </c>
      <c r="CI1417">
        <v>1</v>
      </c>
      <c r="CJ1417">
        <v>2</v>
      </c>
      <c r="CK1417">
        <v>22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"080068493640"</f>
        <v>080068493640</v>
      </c>
      <c r="F1418" s="3">
        <v>45943</v>
      </c>
      <c r="G1418">
        <v>202607</v>
      </c>
      <c r="H1418" t="s">
        <v>79</v>
      </c>
      <c r="I1418" t="s">
        <v>80</v>
      </c>
      <c r="J1418" t="s">
        <v>91</v>
      </c>
      <c r="K1418" t="s">
        <v>78</v>
      </c>
      <c r="L1418" t="s">
        <v>108</v>
      </c>
      <c r="M1418" t="s">
        <v>109</v>
      </c>
      <c r="N1418" t="s">
        <v>515</v>
      </c>
      <c r="O1418" t="s">
        <v>82</v>
      </c>
      <c r="P1418" t="str">
        <f>"4170064019                    "</f>
        <v xml:space="preserve">4170064019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22.36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2</v>
      </c>
      <c r="BJ1418">
        <v>1.8</v>
      </c>
      <c r="BK1418">
        <v>2</v>
      </c>
      <c r="BL1418">
        <v>70.959999999999994</v>
      </c>
      <c r="BM1418">
        <v>10.64</v>
      </c>
      <c r="BN1418">
        <v>81.599999999999994</v>
      </c>
      <c r="BO1418">
        <v>81.599999999999994</v>
      </c>
      <c r="BQ1418" t="s">
        <v>516</v>
      </c>
      <c r="BR1418" t="s">
        <v>97</v>
      </c>
      <c r="BS1418" s="3">
        <v>45944</v>
      </c>
      <c r="BT1418" s="4">
        <v>0.33958333333333335</v>
      </c>
      <c r="BU1418" t="s">
        <v>2186</v>
      </c>
      <c r="BV1418" t="s">
        <v>86</v>
      </c>
      <c r="BY1418">
        <v>8816</v>
      </c>
      <c r="CA1418" t="s">
        <v>1090</v>
      </c>
      <c r="CC1418" t="s">
        <v>109</v>
      </c>
      <c r="CD1418">
        <v>6001</v>
      </c>
      <c r="CE1418" t="s">
        <v>191</v>
      </c>
      <c r="CF1418" s="3">
        <v>45944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"080068493661"</f>
        <v>080068493661</v>
      </c>
      <c r="F1419" s="3">
        <v>45943</v>
      </c>
      <c r="G1419">
        <v>202607</v>
      </c>
      <c r="H1419" t="s">
        <v>79</v>
      </c>
      <c r="I1419" t="s">
        <v>80</v>
      </c>
      <c r="J1419" t="s">
        <v>91</v>
      </c>
      <c r="K1419" t="s">
        <v>78</v>
      </c>
      <c r="L1419" t="s">
        <v>1312</v>
      </c>
      <c r="M1419" t="s">
        <v>1313</v>
      </c>
      <c r="N1419" t="s">
        <v>1314</v>
      </c>
      <c r="O1419" t="s">
        <v>82</v>
      </c>
      <c r="P1419" t="str">
        <f>"4170064116                    "</f>
        <v xml:space="preserve">4170064116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31.44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99.79</v>
      </c>
      <c r="BM1419">
        <v>14.97</v>
      </c>
      <c r="BN1419">
        <v>114.76</v>
      </c>
      <c r="BO1419">
        <v>114.76</v>
      </c>
      <c r="BQ1419" t="s">
        <v>1315</v>
      </c>
      <c r="BR1419" t="s">
        <v>97</v>
      </c>
      <c r="BS1419" s="3">
        <v>45944</v>
      </c>
      <c r="BT1419" s="4">
        <v>0.35694444444444445</v>
      </c>
      <c r="BU1419" t="s">
        <v>2187</v>
      </c>
      <c r="BV1419" t="s">
        <v>86</v>
      </c>
      <c r="BY1419">
        <v>1200</v>
      </c>
      <c r="CA1419" t="s">
        <v>1318</v>
      </c>
      <c r="CC1419" t="s">
        <v>1313</v>
      </c>
      <c r="CD1419">
        <v>2410</v>
      </c>
      <c r="CE1419" t="s">
        <v>147</v>
      </c>
      <c r="CF1419" s="3">
        <v>45944</v>
      </c>
      <c r="CI1419">
        <v>1</v>
      </c>
      <c r="CJ1419">
        <v>1</v>
      </c>
      <c r="CK1419">
        <v>24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"080068493691"</f>
        <v>080068493691</v>
      </c>
      <c r="F1420" s="3">
        <v>45943</v>
      </c>
      <c r="G1420">
        <v>202607</v>
      </c>
      <c r="H1420" t="s">
        <v>79</v>
      </c>
      <c r="I1420" t="s">
        <v>80</v>
      </c>
      <c r="J1420" t="s">
        <v>91</v>
      </c>
      <c r="K1420" t="s">
        <v>78</v>
      </c>
      <c r="L1420" t="s">
        <v>168</v>
      </c>
      <c r="M1420" t="s">
        <v>169</v>
      </c>
      <c r="N1420" t="s">
        <v>778</v>
      </c>
      <c r="O1420" t="s">
        <v>82</v>
      </c>
      <c r="P1420" t="str">
        <f>"4170064034                    "</f>
        <v xml:space="preserve">4170064034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22.36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1.1000000000000001</v>
      </c>
      <c r="BK1420">
        <v>1.5</v>
      </c>
      <c r="BL1420">
        <v>70.959999999999994</v>
      </c>
      <c r="BM1420">
        <v>10.64</v>
      </c>
      <c r="BN1420">
        <v>81.599999999999994</v>
      </c>
      <c r="BO1420">
        <v>81.599999999999994</v>
      </c>
      <c r="BQ1420" t="s">
        <v>779</v>
      </c>
      <c r="BR1420" t="s">
        <v>97</v>
      </c>
      <c r="BS1420" s="3">
        <v>45944</v>
      </c>
      <c r="BT1420" s="4">
        <v>0.40694444444444444</v>
      </c>
      <c r="BU1420" t="s">
        <v>2188</v>
      </c>
      <c r="BV1420" t="s">
        <v>86</v>
      </c>
      <c r="BY1420">
        <v>5510</v>
      </c>
      <c r="CA1420">
        <v>8303236124087</v>
      </c>
      <c r="CC1420" t="s">
        <v>169</v>
      </c>
      <c r="CD1420" s="5" t="s">
        <v>190</v>
      </c>
      <c r="CE1420" t="s">
        <v>191</v>
      </c>
      <c r="CF1420" s="3">
        <v>45944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"080068493709"</f>
        <v>080068493709</v>
      </c>
      <c r="F1421" s="3">
        <v>45943</v>
      </c>
      <c r="G1421">
        <v>202607</v>
      </c>
      <c r="H1421" t="s">
        <v>79</v>
      </c>
      <c r="I1421" t="s">
        <v>80</v>
      </c>
      <c r="J1421" t="s">
        <v>91</v>
      </c>
      <c r="K1421" t="s">
        <v>78</v>
      </c>
      <c r="L1421" t="s">
        <v>218</v>
      </c>
      <c r="M1421" t="s">
        <v>219</v>
      </c>
      <c r="N1421" t="s">
        <v>520</v>
      </c>
      <c r="O1421" t="s">
        <v>82</v>
      </c>
      <c r="P1421" t="str">
        <f>"4170064013                    "</f>
        <v xml:space="preserve">4170064013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17.46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55.42</v>
      </c>
      <c r="BM1421">
        <v>8.31</v>
      </c>
      <c r="BN1421">
        <v>63.73</v>
      </c>
      <c r="BO1421">
        <v>63.73</v>
      </c>
      <c r="BQ1421" t="s">
        <v>521</v>
      </c>
      <c r="BR1421" t="s">
        <v>97</v>
      </c>
      <c r="BS1421" s="3">
        <v>45944</v>
      </c>
      <c r="BT1421" s="4">
        <v>0.5</v>
      </c>
      <c r="BU1421" t="s">
        <v>2189</v>
      </c>
      <c r="BV1421" t="s">
        <v>86</v>
      </c>
      <c r="BY1421">
        <v>1200</v>
      </c>
      <c r="CA1421" t="s">
        <v>1434</v>
      </c>
      <c r="CC1421" t="s">
        <v>219</v>
      </c>
      <c r="CD1421">
        <v>1559</v>
      </c>
      <c r="CE1421" t="s">
        <v>147</v>
      </c>
      <c r="CF1421" s="3">
        <v>45944</v>
      </c>
      <c r="CI1421">
        <v>1</v>
      </c>
      <c r="CJ1421">
        <v>1</v>
      </c>
      <c r="CK1421">
        <v>22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"080068493768"</f>
        <v>080068493768</v>
      </c>
      <c r="F1422" s="3">
        <v>45943</v>
      </c>
      <c r="G1422">
        <v>202607</v>
      </c>
      <c r="H1422" t="s">
        <v>79</v>
      </c>
      <c r="I1422" t="s">
        <v>80</v>
      </c>
      <c r="J1422" t="s">
        <v>91</v>
      </c>
      <c r="K1422" t="s">
        <v>78</v>
      </c>
      <c r="L1422" t="s">
        <v>206</v>
      </c>
      <c r="M1422" t="s">
        <v>207</v>
      </c>
      <c r="N1422" t="s">
        <v>943</v>
      </c>
      <c r="O1422" t="s">
        <v>82</v>
      </c>
      <c r="P1422" t="str">
        <f>"4170064022                    "</f>
        <v xml:space="preserve">4170064022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22.36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2</v>
      </c>
      <c r="BJ1422">
        <v>1.1000000000000001</v>
      </c>
      <c r="BK1422">
        <v>2</v>
      </c>
      <c r="BL1422">
        <v>70.959999999999994</v>
      </c>
      <c r="BM1422">
        <v>10.64</v>
      </c>
      <c r="BN1422">
        <v>81.599999999999994</v>
      </c>
      <c r="BO1422">
        <v>81.599999999999994</v>
      </c>
      <c r="BQ1422" t="s">
        <v>944</v>
      </c>
      <c r="BR1422" t="s">
        <v>97</v>
      </c>
      <c r="BS1422" s="3">
        <v>45944</v>
      </c>
      <c r="BT1422" s="4">
        <v>0.40347222222222223</v>
      </c>
      <c r="BU1422" t="s">
        <v>2190</v>
      </c>
      <c r="BV1422" t="s">
        <v>86</v>
      </c>
      <c r="BY1422">
        <v>5510</v>
      </c>
      <c r="CA1422" t="s">
        <v>2191</v>
      </c>
      <c r="CC1422" t="s">
        <v>207</v>
      </c>
      <c r="CD1422">
        <v>7535</v>
      </c>
      <c r="CE1422" t="s">
        <v>191</v>
      </c>
      <c r="CF1422" s="3">
        <v>45945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"080068493998"</f>
        <v>080068493998</v>
      </c>
      <c r="F1423" s="3">
        <v>45943</v>
      </c>
      <c r="G1423">
        <v>202607</v>
      </c>
      <c r="H1423" t="s">
        <v>79</v>
      </c>
      <c r="I1423" t="s">
        <v>80</v>
      </c>
      <c r="J1423" t="s">
        <v>91</v>
      </c>
      <c r="K1423" t="s">
        <v>78</v>
      </c>
      <c r="L1423" t="s">
        <v>121</v>
      </c>
      <c r="M1423" t="s">
        <v>122</v>
      </c>
      <c r="N1423" t="s">
        <v>1557</v>
      </c>
      <c r="O1423" t="s">
        <v>82</v>
      </c>
      <c r="P1423" t="str">
        <f>"4170064080                    "</f>
        <v xml:space="preserve">4170064080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22.36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70.959999999999994</v>
      </c>
      <c r="BM1423">
        <v>10.64</v>
      </c>
      <c r="BN1423">
        <v>81.599999999999994</v>
      </c>
      <c r="BO1423">
        <v>81.599999999999994</v>
      </c>
      <c r="BQ1423" t="s">
        <v>1558</v>
      </c>
      <c r="BR1423" t="s">
        <v>97</v>
      </c>
      <c r="BS1423" s="3">
        <v>45944</v>
      </c>
      <c r="BT1423" s="4">
        <v>0.4375</v>
      </c>
      <c r="BU1423" t="s">
        <v>868</v>
      </c>
      <c r="BV1423" t="s">
        <v>86</v>
      </c>
      <c r="BY1423">
        <v>1200</v>
      </c>
      <c r="CC1423" t="s">
        <v>122</v>
      </c>
      <c r="CD1423">
        <v>4001</v>
      </c>
      <c r="CE1423" t="s">
        <v>147</v>
      </c>
      <c r="CF1423" s="3">
        <v>45945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"080068494074"</f>
        <v>080068494074</v>
      </c>
      <c r="F1424" s="3">
        <v>45943</v>
      </c>
      <c r="G1424">
        <v>202607</v>
      </c>
      <c r="H1424" t="s">
        <v>79</v>
      </c>
      <c r="I1424" t="s">
        <v>80</v>
      </c>
      <c r="J1424" t="s">
        <v>91</v>
      </c>
      <c r="K1424" t="s">
        <v>78</v>
      </c>
      <c r="L1424" t="s">
        <v>306</v>
      </c>
      <c r="M1424" t="s">
        <v>307</v>
      </c>
      <c r="N1424" t="s">
        <v>308</v>
      </c>
      <c r="O1424" t="s">
        <v>95</v>
      </c>
      <c r="P1424" t="str">
        <f>"4170064045                    "</f>
        <v xml:space="preserve">4170064045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78.930000000000007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3</v>
      </c>
      <c r="BI1424">
        <v>28</v>
      </c>
      <c r="BJ1424">
        <v>34.4</v>
      </c>
      <c r="BK1424">
        <v>35</v>
      </c>
      <c r="BL1424">
        <v>256.38</v>
      </c>
      <c r="BM1424">
        <v>38.46</v>
      </c>
      <c r="BN1424">
        <v>294.83999999999997</v>
      </c>
      <c r="BO1424">
        <v>294.83999999999997</v>
      </c>
      <c r="BQ1424" t="s">
        <v>309</v>
      </c>
      <c r="BR1424" t="s">
        <v>97</v>
      </c>
      <c r="BS1424" s="3">
        <v>45947</v>
      </c>
      <c r="BT1424" s="4">
        <v>0.56319444444444444</v>
      </c>
      <c r="BU1424" t="s">
        <v>2192</v>
      </c>
      <c r="BV1424" t="s">
        <v>90</v>
      </c>
      <c r="BW1424" t="s">
        <v>136</v>
      </c>
      <c r="BX1424" t="s">
        <v>1222</v>
      </c>
      <c r="BY1424">
        <v>163376</v>
      </c>
      <c r="CC1424" t="s">
        <v>307</v>
      </c>
      <c r="CD1424">
        <v>4113</v>
      </c>
      <c r="CE1424" t="s">
        <v>2005</v>
      </c>
      <c r="CF1424" s="3">
        <v>45951</v>
      </c>
      <c r="CI1424">
        <v>1</v>
      </c>
      <c r="CJ1424">
        <v>4</v>
      </c>
      <c r="CK1424">
        <v>41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"080068494108"</f>
        <v>080068494108</v>
      </c>
      <c r="F1425" s="3">
        <v>45943</v>
      </c>
      <c r="G1425">
        <v>202607</v>
      </c>
      <c r="H1425" t="s">
        <v>79</v>
      </c>
      <c r="I1425" t="s">
        <v>80</v>
      </c>
      <c r="J1425" t="s">
        <v>91</v>
      </c>
      <c r="K1425" t="s">
        <v>78</v>
      </c>
      <c r="L1425" t="s">
        <v>1008</v>
      </c>
      <c r="M1425" t="s">
        <v>1009</v>
      </c>
      <c r="N1425" t="s">
        <v>1344</v>
      </c>
      <c r="O1425" t="s">
        <v>226</v>
      </c>
      <c r="P1425" t="str">
        <f>"4170064123                    "</f>
        <v xml:space="preserve">4170064123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59.74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16.739999999999998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3</v>
      </c>
      <c r="BJ1425">
        <v>3.4</v>
      </c>
      <c r="BK1425">
        <v>3.5</v>
      </c>
      <c r="BL1425">
        <v>206.36</v>
      </c>
      <c r="BM1425">
        <v>30.95</v>
      </c>
      <c r="BN1425">
        <v>237.31</v>
      </c>
      <c r="BO1425">
        <v>237.31</v>
      </c>
      <c r="BQ1425" t="s">
        <v>1345</v>
      </c>
      <c r="BR1425" t="s">
        <v>97</v>
      </c>
      <c r="BS1425" s="3">
        <v>45944</v>
      </c>
      <c r="BT1425" s="4">
        <v>0.49791666666666667</v>
      </c>
      <c r="BU1425" t="s">
        <v>2193</v>
      </c>
      <c r="BV1425" t="s">
        <v>86</v>
      </c>
      <c r="BY1425">
        <v>16965</v>
      </c>
      <c r="BZ1425" t="s">
        <v>30</v>
      </c>
      <c r="CA1425" t="s">
        <v>2194</v>
      </c>
      <c r="CC1425" t="s">
        <v>1009</v>
      </c>
      <c r="CD1425">
        <v>1759</v>
      </c>
      <c r="CE1425" t="s">
        <v>191</v>
      </c>
      <c r="CF1425" s="3">
        <v>45944</v>
      </c>
      <c r="CI1425">
        <v>1</v>
      </c>
      <c r="CJ1425">
        <v>1</v>
      </c>
      <c r="CK1425">
        <v>34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"080068494137"</f>
        <v>080068494137</v>
      </c>
      <c r="F1426" s="3">
        <v>45943</v>
      </c>
      <c r="G1426">
        <v>202607</v>
      </c>
      <c r="H1426" t="s">
        <v>79</v>
      </c>
      <c r="I1426" t="s">
        <v>80</v>
      </c>
      <c r="J1426" t="s">
        <v>91</v>
      </c>
      <c r="K1426" t="s">
        <v>78</v>
      </c>
      <c r="L1426" t="s">
        <v>148</v>
      </c>
      <c r="M1426" t="s">
        <v>149</v>
      </c>
      <c r="N1426" t="s">
        <v>2195</v>
      </c>
      <c r="O1426" t="s">
        <v>226</v>
      </c>
      <c r="P1426" t="str">
        <f>"4170064041                    "</f>
        <v xml:space="preserve">4170064041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19.43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5</v>
      </c>
      <c r="BJ1426">
        <v>8.3000000000000007</v>
      </c>
      <c r="BK1426">
        <v>9</v>
      </c>
      <c r="BL1426">
        <v>61.66</v>
      </c>
      <c r="BM1426">
        <v>9.25</v>
      </c>
      <c r="BN1426">
        <v>70.91</v>
      </c>
      <c r="BO1426">
        <v>70.91</v>
      </c>
      <c r="BQ1426" t="s">
        <v>2196</v>
      </c>
      <c r="BR1426" t="s">
        <v>97</v>
      </c>
      <c r="BS1426" s="3">
        <v>45944</v>
      </c>
      <c r="BT1426" s="4">
        <v>0.37708333333333333</v>
      </c>
      <c r="BU1426" t="s">
        <v>2197</v>
      </c>
      <c r="BV1426" t="s">
        <v>86</v>
      </c>
      <c r="BY1426">
        <v>41600</v>
      </c>
      <c r="CA1426" t="s">
        <v>2198</v>
      </c>
      <c r="CC1426" t="s">
        <v>149</v>
      </c>
      <c r="CD1426">
        <v>2065</v>
      </c>
      <c r="CE1426" t="s">
        <v>107</v>
      </c>
      <c r="CF1426" s="3">
        <v>45945</v>
      </c>
      <c r="CI1426">
        <v>1</v>
      </c>
      <c r="CJ1426">
        <v>1</v>
      </c>
      <c r="CK1426">
        <v>32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"080068494159"</f>
        <v>080068494159</v>
      </c>
      <c r="F1427" s="3">
        <v>45943</v>
      </c>
      <c r="G1427">
        <v>202607</v>
      </c>
      <c r="H1427" t="s">
        <v>79</v>
      </c>
      <c r="I1427" t="s">
        <v>80</v>
      </c>
      <c r="J1427" t="s">
        <v>91</v>
      </c>
      <c r="K1427" t="s">
        <v>78</v>
      </c>
      <c r="L1427" t="s">
        <v>206</v>
      </c>
      <c r="M1427" t="s">
        <v>207</v>
      </c>
      <c r="N1427" t="s">
        <v>656</v>
      </c>
      <c r="O1427" t="s">
        <v>82</v>
      </c>
      <c r="P1427" t="str">
        <f>"4170064109                    "</f>
        <v xml:space="preserve">4170064109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33.520000000000003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3</v>
      </c>
      <c r="BJ1427">
        <v>1.8</v>
      </c>
      <c r="BK1427">
        <v>3</v>
      </c>
      <c r="BL1427">
        <v>106.4</v>
      </c>
      <c r="BM1427">
        <v>15.96</v>
      </c>
      <c r="BN1427">
        <v>122.36</v>
      </c>
      <c r="BO1427">
        <v>122.36</v>
      </c>
      <c r="BQ1427" t="s">
        <v>657</v>
      </c>
      <c r="BR1427" t="s">
        <v>97</v>
      </c>
      <c r="BS1427" s="3">
        <v>45944</v>
      </c>
      <c r="BT1427" s="4">
        <v>0.39513888888888887</v>
      </c>
      <c r="BU1427" t="s">
        <v>967</v>
      </c>
      <c r="BV1427" t="s">
        <v>86</v>
      </c>
      <c r="BY1427">
        <v>8816</v>
      </c>
      <c r="CA1427" t="s">
        <v>211</v>
      </c>
      <c r="CC1427" t="s">
        <v>207</v>
      </c>
      <c r="CD1427">
        <v>7441</v>
      </c>
      <c r="CE1427" t="s">
        <v>191</v>
      </c>
      <c r="CF1427" s="3">
        <v>45945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"080068494182"</f>
        <v>080068494182</v>
      </c>
      <c r="F1428" s="3">
        <v>45943</v>
      </c>
      <c r="G1428">
        <v>202607</v>
      </c>
      <c r="H1428" t="s">
        <v>79</v>
      </c>
      <c r="I1428" t="s">
        <v>80</v>
      </c>
      <c r="J1428" t="s">
        <v>91</v>
      </c>
      <c r="K1428" t="s">
        <v>78</v>
      </c>
      <c r="L1428" t="s">
        <v>121</v>
      </c>
      <c r="M1428" t="s">
        <v>122</v>
      </c>
      <c r="N1428" t="s">
        <v>159</v>
      </c>
      <c r="O1428" t="s">
        <v>82</v>
      </c>
      <c r="P1428" t="str">
        <f>"4170064100                    "</f>
        <v xml:space="preserve">4170064100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55.86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4.9000000000000004</v>
      </c>
      <c r="BK1428">
        <v>5</v>
      </c>
      <c r="BL1428">
        <v>177.3</v>
      </c>
      <c r="BM1428">
        <v>26.6</v>
      </c>
      <c r="BN1428">
        <v>203.9</v>
      </c>
      <c r="BO1428">
        <v>203.9</v>
      </c>
      <c r="BQ1428" t="s">
        <v>160</v>
      </c>
      <c r="BR1428" t="s">
        <v>97</v>
      </c>
      <c r="BS1428" s="3">
        <v>45944</v>
      </c>
      <c r="BT1428" s="4">
        <v>0.40416666666666667</v>
      </c>
      <c r="BU1428" t="s">
        <v>2133</v>
      </c>
      <c r="BV1428" t="s">
        <v>86</v>
      </c>
      <c r="BY1428">
        <v>24276</v>
      </c>
      <c r="CA1428" t="s">
        <v>742</v>
      </c>
      <c r="CC1428" t="s">
        <v>122</v>
      </c>
      <c r="CD1428">
        <v>4000</v>
      </c>
      <c r="CE1428" t="s">
        <v>107</v>
      </c>
      <c r="CF1428" s="3">
        <v>45945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"080068494359"</f>
        <v>080068494359</v>
      </c>
      <c r="F1429" s="3">
        <v>45943</v>
      </c>
      <c r="G1429">
        <v>202607</v>
      </c>
      <c r="H1429" t="s">
        <v>79</v>
      </c>
      <c r="I1429" t="s">
        <v>80</v>
      </c>
      <c r="J1429" t="s">
        <v>91</v>
      </c>
      <c r="K1429" t="s">
        <v>78</v>
      </c>
      <c r="L1429" t="s">
        <v>108</v>
      </c>
      <c r="M1429" t="s">
        <v>109</v>
      </c>
      <c r="N1429" t="s">
        <v>379</v>
      </c>
      <c r="O1429" t="s">
        <v>82</v>
      </c>
      <c r="P1429" t="str">
        <f>"4170064122                    "</f>
        <v xml:space="preserve">4170064122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22.36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70.959999999999994</v>
      </c>
      <c r="BM1429">
        <v>10.64</v>
      </c>
      <c r="BN1429">
        <v>81.599999999999994</v>
      </c>
      <c r="BO1429">
        <v>81.599999999999994</v>
      </c>
      <c r="BQ1429" t="s">
        <v>380</v>
      </c>
      <c r="BR1429" t="s">
        <v>97</v>
      </c>
      <c r="BS1429" s="3">
        <v>45944</v>
      </c>
      <c r="BT1429" s="4">
        <v>0.43402777777777779</v>
      </c>
      <c r="BU1429" t="s">
        <v>381</v>
      </c>
      <c r="BV1429" t="s">
        <v>86</v>
      </c>
      <c r="BY1429">
        <v>1200</v>
      </c>
      <c r="CA1429" t="s">
        <v>113</v>
      </c>
      <c r="CC1429" t="s">
        <v>109</v>
      </c>
      <c r="CD1429">
        <v>6001</v>
      </c>
      <c r="CE1429" t="s">
        <v>147</v>
      </c>
      <c r="CF1429" s="3">
        <v>45944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"080068494386"</f>
        <v>080068494386</v>
      </c>
      <c r="F1430" s="3">
        <v>45943</v>
      </c>
      <c r="G1430">
        <v>202607</v>
      </c>
      <c r="H1430" t="s">
        <v>79</v>
      </c>
      <c r="I1430" t="s">
        <v>80</v>
      </c>
      <c r="J1430" t="s">
        <v>91</v>
      </c>
      <c r="K1430" t="s">
        <v>78</v>
      </c>
      <c r="L1430" t="s">
        <v>121</v>
      </c>
      <c r="M1430" t="s">
        <v>122</v>
      </c>
      <c r="N1430" t="s">
        <v>1557</v>
      </c>
      <c r="O1430" t="s">
        <v>82</v>
      </c>
      <c r="P1430" t="str">
        <f>"4170064093                    "</f>
        <v xml:space="preserve">4170064093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22.36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70.959999999999994</v>
      </c>
      <c r="BM1430">
        <v>10.64</v>
      </c>
      <c r="BN1430">
        <v>81.599999999999994</v>
      </c>
      <c r="BO1430">
        <v>81.599999999999994</v>
      </c>
      <c r="BQ1430" t="s">
        <v>1558</v>
      </c>
      <c r="BR1430" t="s">
        <v>97</v>
      </c>
      <c r="BS1430" s="3">
        <v>45944</v>
      </c>
      <c r="BT1430" s="4">
        <v>0.59861111111111109</v>
      </c>
      <c r="BU1430" t="s">
        <v>1559</v>
      </c>
      <c r="BV1430" t="s">
        <v>90</v>
      </c>
      <c r="BY1430">
        <v>1200</v>
      </c>
      <c r="CA1430" t="s">
        <v>1114</v>
      </c>
      <c r="CC1430" t="s">
        <v>122</v>
      </c>
      <c r="CD1430">
        <v>4001</v>
      </c>
      <c r="CE1430" t="s">
        <v>147</v>
      </c>
      <c r="CF1430" s="3">
        <v>45945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"080068494396"</f>
        <v>080068494396</v>
      </c>
      <c r="F1431" s="3">
        <v>45943</v>
      </c>
      <c r="G1431">
        <v>202607</v>
      </c>
      <c r="H1431" t="s">
        <v>79</v>
      </c>
      <c r="I1431" t="s">
        <v>80</v>
      </c>
      <c r="J1431" t="s">
        <v>91</v>
      </c>
      <c r="K1431" t="s">
        <v>78</v>
      </c>
      <c r="L1431" t="s">
        <v>605</v>
      </c>
      <c r="M1431" t="s">
        <v>606</v>
      </c>
      <c r="N1431" t="s">
        <v>607</v>
      </c>
      <c r="O1431" t="s">
        <v>82</v>
      </c>
      <c r="P1431" t="str">
        <f>"4170064115                    "</f>
        <v xml:space="preserve">4170064115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43.31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1.1000000000000001</v>
      </c>
      <c r="BK1431">
        <v>1.5</v>
      </c>
      <c r="BL1431">
        <v>137.47</v>
      </c>
      <c r="BM1431">
        <v>20.62</v>
      </c>
      <c r="BN1431">
        <v>158.09</v>
      </c>
      <c r="BO1431">
        <v>158.09</v>
      </c>
      <c r="BQ1431" t="s">
        <v>608</v>
      </c>
      <c r="BR1431" t="s">
        <v>97</v>
      </c>
      <c r="BS1431" s="3">
        <v>45944</v>
      </c>
      <c r="BT1431" s="4">
        <v>0.38541666666666669</v>
      </c>
      <c r="BU1431" t="s">
        <v>609</v>
      </c>
      <c r="BV1431" t="s">
        <v>86</v>
      </c>
      <c r="BY1431">
        <v>5510</v>
      </c>
      <c r="CA1431" t="s">
        <v>1143</v>
      </c>
      <c r="CC1431" t="s">
        <v>606</v>
      </c>
      <c r="CD1431">
        <v>1947</v>
      </c>
      <c r="CE1431" t="s">
        <v>191</v>
      </c>
      <c r="CF1431" s="3">
        <v>45945</v>
      </c>
      <c r="CI1431">
        <v>1</v>
      </c>
      <c r="CJ1431">
        <v>1</v>
      </c>
      <c r="CK1431">
        <v>23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"080068494401"</f>
        <v>080068494401</v>
      </c>
      <c r="F1432" s="3">
        <v>45943</v>
      </c>
      <c r="G1432">
        <v>202607</v>
      </c>
      <c r="H1432" t="s">
        <v>79</v>
      </c>
      <c r="I1432" t="s">
        <v>80</v>
      </c>
      <c r="J1432" t="s">
        <v>91</v>
      </c>
      <c r="K1432" t="s">
        <v>78</v>
      </c>
      <c r="L1432" t="s">
        <v>206</v>
      </c>
      <c r="M1432" t="s">
        <v>207</v>
      </c>
      <c r="N1432" t="s">
        <v>2199</v>
      </c>
      <c r="O1432" t="s">
        <v>82</v>
      </c>
      <c r="P1432" t="str">
        <f>"4170064119                    "</f>
        <v xml:space="preserve">4170064119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22.36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70.959999999999994</v>
      </c>
      <c r="BM1432">
        <v>10.64</v>
      </c>
      <c r="BN1432">
        <v>81.599999999999994</v>
      </c>
      <c r="BO1432">
        <v>81.599999999999994</v>
      </c>
      <c r="BQ1432" t="s">
        <v>2200</v>
      </c>
      <c r="BR1432" t="s">
        <v>97</v>
      </c>
      <c r="BS1432" s="3">
        <v>45944</v>
      </c>
      <c r="BT1432" s="4">
        <v>0.41666666666666669</v>
      </c>
      <c r="BU1432" t="s">
        <v>317</v>
      </c>
      <c r="BV1432" t="s">
        <v>86</v>
      </c>
      <c r="BY1432">
        <v>1200</v>
      </c>
      <c r="CA1432" t="s">
        <v>423</v>
      </c>
      <c r="CC1432" t="s">
        <v>207</v>
      </c>
      <c r="CD1432">
        <v>7560</v>
      </c>
      <c r="CE1432" t="s">
        <v>147</v>
      </c>
      <c r="CF1432" s="3">
        <v>45945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"080068494410"</f>
        <v>080068494410</v>
      </c>
      <c r="F1433" s="3">
        <v>45943</v>
      </c>
      <c r="G1433">
        <v>202607</v>
      </c>
      <c r="H1433" t="s">
        <v>79</v>
      </c>
      <c r="I1433" t="s">
        <v>80</v>
      </c>
      <c r="J1433" t="s">
        <v>91</v>
      </c>
      <c r="K1433" t="s">
        <v>78</v>
      </c>
      <c r="L1433" t="s">
        <v>469</v>
      </c>
      <c r="M1433" t="s">
        <v>470</v>
      </c>
      <c r="N1433" t="s">
        <v>471</v>
      </c>
      <c r="O1433" t="s">
        <v>82</v>
      </c>
      <c r="P1433" t="str">
        <f>"4170064097                    "</f>
        <v xml:space="preserve">4170064097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43.31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137.47</v>
      </c>
      <c r="BM1433">
        <v>20.62</v>
      </c>
      <c r="BN1433">
        <v>158.09</v>
      </c>
      <c r="BO1433">
        <v>158.09</v>
      </c>
      <c r="BQ1433" t="s">
        <v>472</v>
      </c>
      <c r="BR1433" t="s">
        <v>97</v>
      </c>
      <c r="BS1433" s="3">
        <v>45944</v>
      </c>
      <c r="BT1433" s="4">
        <v>0.53402777777777777</v>
      </c>
      <c r="BU1433" t="s">
        <v>2201</v>
      </c>
      <c r="BV1433" t="s">
        <v>86</v>
      </c>
      <c r="BY1433">
        <v>1200</v>
      </c>
      <c r="CA1433" t="s">
        <v>474</v>
      </c>
      <c r="CC1433" t="s">
        <v>470</v>
      </c>
      <c r="CD1433">
        <v>7299</v>
      </c>
      <c r="CE1433" t="s">
        <v>147</v>
      </c>
      <c r="CF1433" s="3">
        <v>45945</v>
      </c>
      <c r="CI1433">
        <v>1</v>
      </c>
      <c r="CJ1433">
        <v>1</v>
      </c>
      <c r="CK1433">
        <v>23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"080068494412"</f>
        <v>080068494412</v>
      </c>
      <c r="F1434" s="3">
        <v>45943</v>
      </c>
      <c r="G1434">
        <v>202607</v>
      </c>
      <c r="H1434" t="s">
        <v>79</v>
      </c>
      <c r="I1434" t="s">
        <v>80</v>
      </c>
      <c r="J1434" t="s">
        <v>91</v>
      </c>
      <c r="K1434" t="s">
        <v>78</v>
      </c>
      <c r="L1434" t="s">
        <v>108</v>
      </c>
      <c r="M1434" t="s">
        <v>109</v>
      </c>
      <c r="N1434" t="s">
        <v>515</v>
      </c>
      <c r="O1434" t="s">
        <v>82</v>
      </c>
      <c r="P1434" t="str">
        <f>"4170064113                    "</f>
        <v xml:space="preserve">4170064113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22.36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1.1000000000000001</v>
      </c>
      <c r="BK1434">
        <v>1.5</v>
      </c>
      <c r="BL1434">
        <v>70.959999999999994</v>
      </c>
      <c r="BM1434">
        <v>10.64</v>
      </c>
      <c r="BN1434">
        <v>81.599999999999994</v>
      </c>
      <c r="BO1434">
        <v>81.599999999999994</v>
      </c>
      <c r="BQ1434" t="s">
        <v>516</v>
      </c>
      <c r="BR1434" t="s">
        <v>97</v>
      </c>
      <c r="BS1434" s="3">
        <v>45944</v>
      </c>
      <c r="BT1434" s="4">
        <v>0.42569444444444443</v>
      </c>
      <c r="BU1434" t="s">
        <v>517</v>
      </c>
      <c r="BV1434" t="s">
        <v>86</v>
      </c>
      <c r="BY1434">
        <v>5510</v>
      </c>
      <c r="CA1434" t="s">
        <v>113</v>
      </c>
      <c r="CC1434" t="s">
        <v>109</v>
      </c>
      <c r="CD1434">
        <v>6001</v>
      </c>
      <c r="CE1434" t="s">
        <v>191</v>
      </c>
      <c r="CF1434" s="3">
        <v>45944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"080068494468"</f>
        <v>080068494468</v>
      </c>
      <c r="F1435" s="3">
        <v>45943</v>
      </c>
      <c r="G1435">
        <v>202607</v>
      </c>
      <c r="H1435" t="s">
        <v>79</v>
      </c>
      <c r="I1435" t="s">
        <v>80</v>
      </c>
      <c r="J1435" t="s">
        <v>91</v>
      </c>
      <c r="K1435" t="s">
        <v>78</v>
      </c>
      <c r="L1435" t="s">
        <v>206</v>
      </c>
      <c r="M1435" t="s">
        <v>207</v>
      </c>
      <c r="N1435" t="s">
        <v>611</v>
      </c>
      <c r="O1435" t="s">
        <v>82</v>
      </c>
      <c r="P1435" t="str">
        <f>"4170064111                    "</f>
        <v xml:space="preserve">4170064111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39.11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3.4</v>
      </c>
      <c r="BK1435">
        <v>3.5</v>
      </c>
      <c r="BL1435">
        <v>124.13</v>
      </c>
      <c r="BM1435">
        <v>18.62</v>
      </c>
      <c r="BN1435">
        <v>142.75</v>
      </c>
      <c r="BO1435">
        <v>142.75</v>
      </c>
      <c r="BQ1435" t="s">
        <v>612</v>
      </c>
      <c r="BR1435" t="s">
        <v>97</v>
      </c>
      <c r="BS1435" s="3">
        <v>45944</v>
      </c>
      <c r="BT1435" s="4">
        <v>0.3298611111111111</v>
      </c>
      <c r="BU1435" t="s">
        <v>1400</v>
      </c>
      <c r="BV1435" t="s">
        <v>86</v>
      </c>
      <c r="BY1435">
        <v>17136</v>
      </c>
      <c r="CA1435" t="s">
        <v>423</v>
      </c>
      <c r="CC1435" t="s">
        <v>207</v>
      </c>
      <c r="CD1435">
        <v>7530</v>
      </c>
      <c r="CE1435" t="s">
        <v>107</v>
      </c>
      <c r="CF1435" s="3">
        <v>45945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"080068494522"</f>
        <v>080068494522</v>
      </c>
      <c r="F1436" s="3">
        <v>45943</v>
      </c>
      <c r="G1436">
        <v>202607</v>
      </c>
      <c r="H1436" t="s">
        <v>79</v>
      </c>
      <c r="I1436" t="s">
        <v>80</v>
      </c>
      <c r="J1436" t="s">
        <v>91</v>
      </c>
      <c r="K1436" t="s">
        <v>78</v>
      </c>
      <c r="L1436" t="s">
        <v>92</v>
      </c>
      <c r="M1436" t="s">
        <v>93</v>
      </c>
      <c r="N1436" t="s">
        <v>143</v>
      </c>
      <c r="O1436" t="s">
        <v>82</v>
      </c>
      <c r="P1436" t="str">
        <f>"4170064039                    "</f>
        <v xml:space="preserve">4170064039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22.36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1.9</v>
      </c>
      <c r="BK1436">
        <v>2</v>
      </c>
      <c r="BL1436">
        <v>70.959999999999994</v>
      </c>
      <c r="BM1436">
        <v>10.64</v>
      </c>
      <c r="BN1436">
        <v>81.599999999999994</v>
      </c>
      <c r="BO1436">
        <v>81.599999999999994</v>
      </c>
      <c r="BQ1436" t="s">
        <v>144</v>
      </c>
      <c r="BR1436" t="s">
        <v>97</v>
      </c>
      <c r="BS1436" s="3">
        <v>45944</v>
      </c>
      <c r="BT1436" s="4">
        <v>0.42708333333333331</v>
      </c>
      <c r="BU1436" t="s">
        <v>1903</v>
      </c>
      <c r="BV1436" t="s">
        <v>86</v>
      </c>
      <c r="BY1436">
        <v>9600</v>
      </c>
      <c r="CA1436" t="s">
        <v>100</v>
      </c>
      <c r="CC1436" t="s">
        <v>93</v>
      </c>
      <c r="CD1436">
        <v>3200</v>
      </c>
      <c r="CE1436" t="s">
        <v>191</v>
      </c>
      <c r="CF1436" s="3">
        <v>45945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"080068494570"</f>
        <v>080068494570</v>
      </c>
      <c r="F1437" s="3">
        <v>45943</v>
      </c>
      <c r="G1437">
        <v>202607</v>
      </c>
      <c r="H1437" t="s">
        <v>79</v>
      </c>
      <c r="I1437" t="s">
        <v>80</v>
      </c>
      <c r="J1437" t="s">
        <v>91</v>
      </c>
      <c r="K1437" t="s">
        <v>78</v>
      </c>
      <c r="L1437" t="s">
        <v>322</v>
      </c>
      <c r="M1437" t="s">
        <v>322</v>
      </c>
      <c r="N1437" t="s">
        <v>481</v>
      </c>
      <c r="O1437" t="s">
        <v>82</v>
      </c>
      <c r="P1437" t="str">
        <f>"4170063983                    "</f>
        <v xml:space="preserve">4170063983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82.43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4</v>
      </c>
      <c r="BJ1437">
        <v>1.8</v>
      </c>
      <c r="BK1437">
        <v>4</v>
      </c>
      <c r="BL1437">
        <v>261.63</v>
      </c>
      <c r="BM1437">
        <v>39.24</v>
      </c>
      <c r="BN1437">
        <v>300.87</v>
      </c>
      <c r="BO1437">
        <v>300.87</v>
      </c>
      <c r="BQ1437" t="s">
        <v>482</v>
      </c>
      <c r="BR1437" t="s">
        <v>97</v>
      </c>
      <c r="BS1437" s="3">
        <v>45944</v>
      </c>
      <c r="BT1437" s="4">
        <v>0.52847222222222223</v>
      </c>
      <c r="BU1437" t="s">
        <v>1402</v>
      </c>
      <c r="BV1437" t="s">
        <v>86</v>
      </c>
      <c r="BY1437">
        <v>8816</v>
      </c>
      <c r="CA1437" t="s">
        <v>326</v>
      </c>
      <c r="CC1437" t="s">
        <v>322</v>
      </c>
      <c r="CD1437">
        <v>7646</v>
      </c>
      <c r="CE1437" t="s">
        <v>191</v>
      </c>
      <c r="CF1437" s="3">
        <v>45945</v>
      </c>
      <c r="CI1437">
        <v>1</v>
      </c>
      <c r="CJ1437">
        <v>1</v>
      </c>
      <c r="CK1437">
        <v>23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"080068494625"</f>
        <v>080068494625</v>
      </c>
      <c r="F1438" s="3">
        <v>45943</v>
      </c>
      <c r="G1438">
        <v>202607</v>
      </c>
      <c r="H1438" t="s">
        <v>79</v>
      </c>
      <c r="I1438" t="s">
        <v>80</v>
      </c>
      <c r="J1438" t="s">
        <v>91</v>
      </c>
      <c r="K1438" t="s">
        <v>78</v>
      </c>
      <c r="L1438" t="s">
        <v>92</v>
      </c>
      <c r="M1438" t="s">
        <v>93</v>
      </c>
      <c r="N1438" t="s">
        <v>2202</v>
      </c>
      <c r="O1438" t="s">
        <v>82</v>
      </c>
      <c r="P1438" t="str">
        <f>"4170064057                    "</f>
        <v xml:space="preserve">4170064057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44.69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16.739999999999998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3.8</v>
      </c>
      <c r="BK1438">
        <v>4</v>
      </c>
      <c r="BL1438">
        <v>158.59</v>
      </c>
      <c r="BM1438">
        <v>23.79</v>
      </c>
      <c r="BN1438">
        <v>182.38</v>
      </c>
      <c r="BO1438">
        <v>182.38</v>
      </c>
      <c r="BQ1438" t="s">
        <v>2203</v>
      </c>
      <c r="BR1438" t="s">
        <v>97</v>
      </c>
      <c r="BS1438" s="3">
        <v>45944</v>
      </c>
      <c r="BT1438" s="4">
        <v>0.42708333333333331</v>
      </c>
      <c r="BU1438" t="s">
        <v>2204</v>
      </c>
      <c r="BV1438" t="s">
        <v>86</v>
      </c>
      <c r="BY1438">
        <v>19040</v>
      </c>
      <c r="BZ1438" t="s">
        <v>30</v>
      </c>
      <c r="CA1438" t="s">
        <v>1699</v>
      </c>
      <c r="CC1438" t="s">
        <v>93</v>
      </c>
      <c r="CD1438">
        <v>3699</v>
      </c>
      <c r="CE1438" t="s">
        <v>107</v>
      </c>
      <c r="CF1438" s="3">
        <v>45945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"080068494698"</f>
        <v>080068494698</v>
      </c>
      <c r="F1439" s="3">
        <v>45943</v>
      </c>
      <c r="G1439">
        <v>202607</v>
      </c>
      <c r="H1439" t="s">
        <v>79</v>
      </c>
      <c r="I1439" t="s">
        <v>80</v>
      </c>
      <c r="J1439" t="s">
        <v>91</v>
      </c>
      <c r="K1439" t="s">
        <v>78</v>
      </c>
      <c r="L1439" t="s">
        <v>206</v>
      </c>
      <c r="M1439" t="s">
        <v>207</v>
      </c>
      <c r="N1439" t="s">
        <v>656</v>
      </c>
      <c r="O1439" t="s">
        <v>82</v>
      </c>
      <c r="P1439" t="str">
        <f>"4170064124                    "</f>
        <v xml:space="preserve">4170064124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22.36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0.9</v>
      </c>
      <c r="BK1439">
        <v>1</v>
      </c>
      <c r="BL1439">
        <v>70.959999999999994</v>
      </c>
      <c r="BM1439">
        <v>10.64</v>
      </c>
      <c r="BN1439">
        <v>81.599999999999994</v>
      </c>
      <c r="BO1439">
        <v>81.599999999999994</v>
      </c>
      <c r="BQ1439" t="s">
        <v>657</v>
      </c>
      <c r="BR1439" t="s">
        <v>97</v>
      </c>
      <c r="BS1439" s="3">
        <v>45944</v>
      </c>
      <c r="BT1439" s="4">
        <v>0.39513888888888887</v>
      </c>
      <c r="BU1439" t="s">
        <v>967</v>
      </c>
      <c r="BV1439" t="s">
        <v>86</v>
      </c>
      <c r="BY1439">
        <v>4560</v>
      </c>
      <c r="CA1439" t="s">
        <v>211</v>
      </c>
      <c r="CC1439" t="s">
        <v>207</v>
      </c>
      <c r="CD1439">
        <v>7441</v>
      </c>
      <c r="CE1439" t="s">
        <v>191</v>
      </c>
      <c r="CF1439" s="3">
        <v>45945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"080068494724"</f>
        <v>080068494724</v>
      </c>
      <c r="F1440" s="3">
        <v>45943</v>
      </c>
      <c r="G1440">
        <v>202607</v>
      </c>
      <c r="H1440" t="s">
        <v>79</v>
      </c>
      <c r="I1440" t="s">
        <v>80</v>
      </c>
      <c r="J1440" t="s">
        <v>91</v>
      </c>
      <c r="K1440" t="s">
        <v>78</v>
      </c>
      <c r="L1440" t="s">
        <v>168</v>
      </c>
      <c r="M1440" t="s">
        <v>169</v>
      </c>
      <c r="N1440" t="s">
        <v>520</v>
      </c>
      <c r="O1440" t="s">
        <v>95</v>
      </c>
      <c r="P1440" t="str">
        <f>"4170064092                    "</f>
        <v xml:space="preserve">4170064092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43.23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1.3</v>
      </c>
      <c r="BK1440">
        <v>2</v>
      </c>
      <c r="BL1440">
        <v>143.08000000000001</v>
      </c>
      <c r="BM1440">
        <v>21.46</v>
      </c>
      <c r="BN1440">
        <v>164.54</v>
      </c>
      <c r="BO1440">
        <v>164.54</v>
      </c>
      <c r="BQ1440" t="s">
        <v>521</v>
      </c>
      <c r="BR1440" t="s">
        <v>97</v>
      </c>
      <c r="BS1440" s="3">
        <v>45944</v>
      </c>
      <c r="BT1440" s="4">
        <v>0.48541666666666666</v>
      </c>
      <c r="BU1440" t="s">
        <v>2205</v>
      </c>
      <c r="BV1440" t="s">
        <v>86</v>
      </c>
      <c r="BY1440">
        <v>6555</v>
      </c>
      <c r="CA1440">
        <v>8303236124087</v>
      </c>
      <c r="CC1440" t="s">
        <v>169</v>
      </c>
      <c r="CD1440" s="5" t="s">
        <v>190</v>
      </c>
      <c r="CE1440" t="s">
        <v>931</v>
      </c>
      <c r="CF1440" s="3">
        <v>45944</v>
      </c>
      <c r="CI1440">
        <v>1</v>
      </c>
      <c r="CJ1440">
        <v>1</v>
      </c>
      <c r="CK1440">
        <v>41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"080068494749"</f>
        <v>080068494749</v>
      </c>
      <c r="F1441" s="3">
        <v>45943</v>
      </c>
      <c r="G1441">
        <v>202607</v>
      </c>
      <c r="H1441" t="s">
        <v>79</v>
      </c>
      <c r="I1441" t="s">
        <v>80</v>
      </c>
      <c r="J1441" t="s">
        <v>91</v>
      </c>
      <c r="K1441" t="s">
        <v>78</v>
      </c>
      <c r="L1441" t="s">
        <v>114</v>
      </c>
      <c r="M1441" t="s">
        <v>115</v>
      </c>
      <c r="N1441" t="s">
        <v>881</v>
      </c>
      <c r="O1441" t="s">
        <v>82</v>
      </c>
      <c r="P1441" t="str">
        <f>"4170064110                    "</f>
        <v xml:space="preserve">4170064110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55.86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2</v>
      </c>
      <c r="BI1441">
        <v>3</v>
      </c>
      <c r="BJ1441">
        <v>5</v>
      </c>
      <c r="BK1441">
        <v>5</v>
      </c>
      <c r="BL1441">
        <v>177.3</v>
      </c>
      <c r="BM1441">
        <v>26.6</v>
      </c>
      <c r="BN1441">
        <v>203.9</v>
      </c>
      <c r="BO1441">
        <v>203.9</v>
      </c>
      <c r="BQ1441" t="s">
        <v>882</v>
      </c>
      <c r="BR1441" t="s">
        <v>97</v>
      </c>
      <c r="BS1441" s="3">
        <v>45944</v>
      </c>
      <c r="BT1441" s="4">
        <v>0.51111111111111107</v>
      </c>
      <c r="BU1441" t="s">
        <v>1293</v>
      </c>
      <c r="BV1441" t="s">
        <v>90</v>
      </c>
      <c r="BY1441">
        <v>25166</v>
      </c>
      <c r="CA1441" t="s">
        <v>749</v>
      </c>
      <c r="CC1441" t="s">
        <v>115</v>
      </c>
      <c r="CD1441">
        <v>5201</v>
      </c>
      <c r="CE1441" t="s">
        <v>191</v>
      </c>
      <c r="CF1441" s="3">
        <v>45945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"080068494790"</f>
        <v>080068494790</v>
      </c>
      <c r="F1442" s="3">
        <v>45943</v>
      </c>
      <c r="G1442">
        <v>202607</v>
      </c>
      <c r="H1442" t="s">
        <v>79</v>
      </c>
      <c r="I1442" t="s">
        <v>80</v>
      </c>
      <c r="J1442" t="s">
        <v>91</v>
      </c>
      <c r="K1442" t="s">
        <v>78</v>
      </c>
      <c r="L1442" t="s">
        <v>79</v>
      </c>
      <c r="M1442" t="s">
        <v>80</v>
      </c>
      <c r="N1442" t="s">
        <v>577</v>
      </c>
      <c r="O1442" t="s">
        <v>82</v>
      </c>
      <c r="P1442" t="str">
        <f>"4170064096                    "</f>
        <v xml:space="preserve">4170064096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17.46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55.42</v>
      </c>
      <c r="BM1442">
        <v>8.31</v>
      </c>
      <c r="BN1442">
        <v>63.73</v>
      </c>
      <c r="BO1442">
        <v>63.73</v>
      </c>
      <c r="BQ1442" t="s">
        <v>578</v>
      </c>
      <c r="BR1442" t="s">
        <v>97</v>
      </c>
      <c r="BS1442" s="3">
        <v>45944</v>
      </c>
      <c r="BT1442" s="4">
        <v>0.39374999999999999</v>
      </c>
      <c r="BU1442" t="s">
        <v>579</v>
      </c>
      <c r="BV1442" t="s">
        <v>86</v>
      </c>
      <c r="BY1442">
        <v>1200</v>
      </c>
      <c r="CA1442" t="s">
        <v>580</v>
      </c>
      <c r="CC1442" t="s">
        <v>80</v>
      </c>
      <c r="CD1442">
        <v>1619</v>
      </c>
      <c r="CE1442" t="s">
        <v>147</v>
      </c>
      <c r="CF1442" s="3">
        <v>45944</v>
      </c>
      <c r="CI1442">
        <v>1</v>
      </c>
      <c r="CJ1442">
        <v>1</v>
      </c>
      <c r="CK1442">
        <v>22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"080068494806"</f>
        <v>080068494806</v>
      </c>
      <c r="F1443" s="3">
        <v>45943</v>
      </c>
      <c r="G1443">
        <v>202607</v>
      </c>
      <c r="H1443" t="s">
        <v>79</v>
      </c>
      <c r="I1443" t="s">
        <v>80</v>
      </c>
      <c r="J1443" t="s">
        <v>91</v>
      </c>
      <c r="K1443" t="s">
        <v>78</v>
      </c>
      <c r="L1443" t="s">
        <v>168</v>
      </c>
      <c r="M1443" t="s">
        <v>169</v>
      </c>
      <c r="N1443" t="s">
        <v>873</v>
      </c>
      <c r="O1443" t="s">
        <v>82</v>
      </c>
      <c r="P1443" t="str">
        <f>"4170064121                    "</f>
        <v xml:space="preserve">4170064121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22.36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70.959999999999994</v>
      </c>
      <c r="BM1443">
        <v>10.64</v>
      </c>
      <c r="BN1443">
        <v>81.599999999999994</v>
      </c>
      <c r="BO1443">
        <v>81.599999999999994</v>
      </c>
      <c r="BQ1443" t="s">
        <v>874</v>
      </c>
      <c r="BR1443" t="s">
        <v>97</v>
      </c>
      <c r="BS1443" s="3">
        <v>45945</v>
      </c>
      <c r="BT1443" s="4">
        <v>0.49791666666666667</v>
      </c>
      <c r="BU1443" t="s">
        <v>2206</v>
      </c>
      <c r="BV1443" t="s">
        <v>90</v>
      </c>
      <c r="BY1443">
        <v>1200</v>
      </c>
      <c r="CC1443" t="s">
        <v>169</v>
      </c>
      <c r="CD1443" s="5" t="s">
        <v>877</v>
      </c>
      <c r="CE1443" t="s">
        <v>147</v>
      </c>
      <c r="CF1443" s="3">
        <v>45945</v>
      </c>
      <c r="CI1443">
        <v>1</v>
      </c>
      <c r="CJ1443">
        <v>2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"080068494823"</f>
        <v>080068494823</v>
      </c>
      <c r="F1444" s="3">
        <v>45943</v>
      </c>
      <c r="G1444">
        <v>202607</v>
      </c>
      <c r="H1444" t="s">
        <v>79</v>
      </c>
      <c r="I1444" t="s">
        <v>80</v>
      </c>
      <c r="J1444" t="s">
        <v>91</v>
      </c>
      <c r="K1444" t="s">
        <v>78</v>
      </c>
      <c r="L1444" t="s">
        <v>121</v>
      </c>
      <c r="M1444" t="s">
        <v>122</v>
      </c>
      <c r="N1444" t="s">
        <v>154</v>
      </c>
      <c r="O1444" t="s">
        <v>82</v>
      </c>
      <c r="P1444" t="str">
        <f>"4170064130                    "</f>
        <v xml:space="preserve">4170064130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22.36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1.4</v>
      </c>
      <c r="BK1444">
        <v>1.5</v>
      </c>
      <c r="BL1444">
        <v>70.959999999999994</v>
      </c>
      <c r="BM1444">
        <v>10.64</v>
      </c>
      <c r="BN1444">
        <v>81.599999999999994</v>
      </c>
      <c r="BO1444">
        <v>81.599999999999994</v>
      </c>
      <c r="BQ1444" t="s">
        <v>155</v>
      </c>
      <c r="BR1444" t="s">
        <v>97</v>
      </c>
      <c r="BS1444" s="3">
        <v>45944</v>
      </c>
      <c r="BT1444" s="4">
        <v>0.77638888888888891</v>
      </c>
      <c r="BU1444" t="s">
        <v>2207</v>
      </c>
      <c r="BV1444" t="s">
        <v>90</v>
      </c>
      <c r="BY1444">
        <v>6900</v>
      </c>
      <c r="CA1444" t="s">
        <v>157</v>
      </c>
      <c r="CC1444" t="s">
        <v>122</v>
      </c>
      <c r="CD1444">
        <v>4052</v>
      </c>
      <c r="CE1444" t="s">
        <v>107</v>
      </c>
      <c r="CF1444" s="3">
        <v>45945</v>
      </c>
      <c r="CI1444">
        <v>1</v>
      </c>
      <c r="CJ1444">
        <v>1</v>
      </c>
      <c r="CK1444">
        <v>21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"080068494854"</f>
        <v>080068494854</v>
      </c>
      <c r="F1445" s="3">
        <v>45943</v>
      </c>
      <c r="G1445">
        <v>202607</v>
      </c>
      <c r="H1445" t="s">
        <v>79</v>
      </c>
      <c r="I1445" t="s">
        <v>80</v>
      </c>
      <c r="J1445" t="s">
        <v>91</v>
      </c>
      <c r="K1445" t="s">
        <v>78</v>
      </c>
      <c r="L1445" t="s">
        <v>114</v>
      </c>
      <c r="M1445" t="s">
        <v>115</v>
      </c>
      <c r="N1445" t="s">
        <v>746</v>
      </c>
      <c r="O1445" t="s">
        <v>82</v>
      </c>
      <c r="P1445" t="str">
        <f>"4170064042                    "</f>
        <v xml:space="preserve">4170064042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22.36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1.9</v>
      </c>
      <c r="BK1445">
        <v>2</v>
      </c>
      <c r="BL1445">
        <v>70.959999999999994</v>
      </c>
      <c r="BM1445">
        <v>10.64</v>
      </c>
      <c r="BN1445">
        <v>81.599999999999994</v>
      </c>
      <c r="BO1445">
        <v>81.599999999999994</v>
      </c>
      <c r="BQ1445" t="s">
        <v>747</v>
      </c>
      <c r="BR1445" t="s">
        <v>97</v>
      </c>
      <c r="BS1445" s="3">
        <v>45944</v>
      </c>
      <c r="BT1445" s="4">
        <v>0.49513888888888891</v>
      </c>
      <c r="BU1445" t="s">
        <v>2208</v>
      </c>
      <c r="BV1445" t="s">
        <v>90</v>
      </c>
      <c r="BY1445">
        <v>9408</v>
      </c>
      <c r="CA1445" t="s">
        <v>749</v>
      </c>
      <c r="CC1445" t="s">
        <v>115</v>
      </c>
      <c r="CD1445">
        <v>5200</v>
      </c>
      <c r="CE1445" t="s">
        <v>107</v>
      </c>
      <c r="CF1445" s="3">
        <v>45945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"080068494867"</f>
        <v>080068494867</v>
      </c>
      <c r="F1446" s="3">
        <v>45943</v>
      </c>
      <c r="G1446">
        <v>202607</v>
      </c>
      <c r="H1446" t="s">
        <v>79</v>
      </c>
      <c r="I1446" t="s">
        <v>80</v>
      </c>
      <c r="J1446" t="s">
        <v>91</v>
      </c>
      <c r="K1446" t="s">
        <v>78</v>
      </c>
      <c r="L1446" t="s">
        <v>530</v>
      </c>
      <c r="M1446" t="s">
        <v>531</v>
      </c>
      <c r="N1446" t="s">
        <v>754</v>
      </c>
      <c r="O1446" t="s">
        <v>82</v>
      </c>
      <c r="P1446" t="str">
        <f>"4170064118                    "</f>
        <v xml:space="preserve">4170064118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43.31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2</v>
      </c>
      <c r="BJ1446">
        <v>1.1000000000000001</v>
      </c>
      <c r="BK1446">
        <v>2</v>
      </c>
      <c r="BL1446">
        <v>137.47</v>
      </c>
      <c r="BM1446">
        <v>20.62</v>
      </c>
      <c r="BN1446">
        <v>158.09</v>
      </c>
      <c r="BO1446">
        <v>158.09</v>
      </c>
      <c r="BQ1446" t="s">
        <v>755</v>
      </c>
      <c r="BR1446" t="s">
        <v>97</v>
      </c>
      <c r="BS1446" s="3">
        <v>45944</v>
      </c>
      <c r="BT1446" s="4">
        <v>0.56111111111111112</v>
      </c>
      <c r="BU1446" t="s">
        <v>2170</v>
      </c>
      <c r="BV1446" t="s">
        <v>86</v>
      </c>
      <c r="BY1446">
        <v>5320</v>
      </c>
      <c r="CA1446" t="s">
        <v>1245</v>
      </c>
      <c r="CC1446" t="s">
        <v>531</v>
      </c>
      <c r="CD1446">
        <v>6850</v>
      </c>
      <c r="CE1446" t="s">
        <v>191</v>
      </c>
      <c r="CF1446" s="3">
        <v>45945</v>
      </c>
      <c r="CI1446">
        <v>2</v>
      </c>
      <c r="CJ1446">
        <v>1</v>
      </c>
      <c r="CK1446">
        <v>23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"080068494884"</f>
        <v>080068494884</v>
      </c>
      <c r="F1447" s="3">
        <v>45943</v>
      </c>
      <c r="G1447">
        <v>202607</v>
      </c>
      <c r="H1447" t="s">
        <v>79</v>
      </c>
      <c r="I1447" t="s">
        <v>80</v>
      </c>
      <c r="J1447" t="s">
        <v>91</v>
      </c>
      <c r="K1447" t="s">
        <v>78</v>
      </c>
      <c r="L1447" t="s">
        <v>206</v>
      </c>
      <c r="M1447" t="s">
        <v>207</v>
      </c>
      <c r="N1447" t="s">
        <v>1200</v>
      </c>
      <c r="O1447" t="s">
        <v>82</v>
      </c>
      <c r="P1447" t="str">
        <f>"4170064129                    "</f>
        <v xml:space="preserve">4170064129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22.36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70.959999999999994</v>
      </c>
      <c r="BM1447">
        <v>10.64</v>
      </c>
      <c r="BN1447">
        <v>81.599999999999994</v>
      </c>
      <c r="BO1447">
        <v>81.599999999999994</v>
      </c>
      <c r="BQ1447" t="s">
        <v>1201</v>
      </c>
      <c r="BR1447" t="s">
        <v>97</v>
      </c>
      <c r="BS1447" s="3">
        <v>45944</v>
      </c>
      <c r="BT1447" s="4">
        <v>0.38263888888888886</v>
      </c>
      <c r="BU1447" t="s">
        <v>2119</v>
      </c>
      <c r="BV1447" t="s">
        <v>86</v>
      </c>
      <c r="BY1447">
        <v>1200</v>
      </c>
      <c r="CA1447" t="s">
        <v>770</v>
      </c>
      <c r="CC1447" t="s">
        <v>207</v>
      </c>
      <c r="CD1447">
        <v>8001</v>
      </c>
      <c r="CE1447" t="s">
        <v>147</v>
      </c>
      <c r="CF1447" s="3">
        <v>45945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"080068494887"</f>
        <v>080068494887</v>
      </c>
      <c r="F1448" s="3">
        <v>45943</v>
      </c>
      <c r="G1448">
        <v>202607</v>
      </c>
      <c r="H1448" t="s">
        <v>79</v>
      </c>
      <c r="I1448" t="s">
        <v>80</v>
      </c>
      <c r="J1448" t="s">
        <v>91</v>
      </c>
      <c r="K1448" t="s">
        <v>78</v>
      </c>
      <c r="L1448" t="s">
        <v>168</v>
      </c>
      <c r="M1448" t="s">
        <v>169</v>
      </c>
      <c r="N1448" t="s">
        <v>1541</v>
      </c>
      <c r="O1448" t="s">
        <v>95</v>
      </c>
      <c r="P1448" t="str">
        <f>"4170064114                    "</f>
        <v xml:space="preserve">4170064114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43.23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3</v>
      </c>
      <c r="BJ1448">
        <v>9.1</v>
      </c>
      <c r="BK1448">
        <v>10</v>
      </c>
      <c r="BL1448">
        <v>143.08000000000001</v>
      </c>
      <c r="BM1448">
        <v>21.46</v>
      </c>
      <c r="BN1448">
        <v>164.54</v>
      </c>
      <c r="BO1448">
        <v>164.54</v>
      </c>
      <c r="BQ1448" t="s">
        <v>1542</v>
      </c>
      <c r="BR1448" t="s">
        <v>97</v>
      </c>
      <c r="BS1448" s="3">
        <v>45944</v>
      </c>
      <c r="BT1448" s="4">
        <v>0.46527777777777779</v>
      </c>
      <c r="BU1448" t="s">
        <v>2209</v>
      </c>
      <c r="BV1448" t="s">
        <v>86</v>
      </c>
      <c r="BY1448">
        <v>45632</v>
      </c>
      <c r="CA1448">
        <v>8911185205085</v>
      </c>
      <c r="CC1448" t="s">
        <v>169</v>
      </c>
      <c r="CD1448" s="5" t="s">
        <v>173</v>
      </c>
      <c r="CE1448" t="s">
        <v>191</v>
      </c>
      <c r="CF1448" s="3">
        <v>45944</v>
      </c>
      <c r="CI1448">
        <v>1</v>
      </c>
      <c r="CJ1448">
        <v>1</v>
      </c>
      <c r="CK1448">
        <v>41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"080068494896"</f>
        <v>080068494896</v>
      </c>
      <c r="F1449" s="3">
        <v>45943</v>
      </c>
      <c r="G1449">
        <v>202607</v>
      </c>
      <c r="H1449" t="s">
        <v>79</v>
      </c>
      <c r="I1449" t="s">
        <v>80</v>
      </c>
      <c r="J1449" t="s">
        <v>91</v>
      </c>
      <c r="K1449" t="s">
        <v>78</v>
      </c>
      <c r="L1449" t="s">
        <v>884</v>
      </c>
      <c r="M1449" t="s">
        <v>885</v>
      </c>
      <c r="N1449" t="s">
        <v>886</v>
      </c>
      <c r="O1449" t="s">
        <v>82</v>
      </c>
      <c r="P1449" t="str">
        <f>"4170064107                    "</f>
        <v xml:space="preserve">4170064107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82.43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2</v>
      </c>
      <c r="BJ1449">
        <v>3.8</v>
      </c>
      <c r="BK1449">
        <v>4</v>
      </c>
      <c r="BL1449">
        <v>261.63</v>
      </c>
      <c r="BM1449">
        <v>39.24</v>
      </c>
      <c r="BN1449">
        <v>300.87</v>
      </c>
      <c r="BO1449">
        <v>300.87</v>
      </c>
      <c r="BQ1449" t="s">
        <v>887</v>
      </c>
      <c r="BR1449" t="s">
        <v>97</v>
      </c>
      <c r="BS1449" s="3">
        <v>45944</v>
      </c>
      <c r="BT1449" s="4">
        <v>0.33333333333333331</v>
      </c>
      <c r="BU1449" t="s">
        <v>2210</v>
      </c>
      <c r="BV1449" t="s">
        <v>86</v>
      </c>
      <c r="BY1449">
        <v>19040</v>
      </c>
      <c r="CC1449" t="s">
        <v>885</v>
      </c>
      <c r="CD1449">
        <v>2740</v>
      </c>
      <c r="CE1449" t="s">
        <v>107</v>
      </c>
      <c r="CF1449" s="3">
        <v>45945</v>
      </c>
      <c r="CI1449">
        <v>1</v>
      </c>
      <c r="CJ1449">
        <v>1</v>
      </c>
      <c r="CK1449">
        <v>23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"080068494911"</f>
        <v>080068494911</v>
      </c>
      <c r="F1450" s="3">
        <v>45943</v>
      </c>
      <c r="G1450">
        <v>202607</v>
      </c>
      <c r="H1450" t="s">
        <v>79</v>
      </c>
      <c r="I1450" t="s">
        <v>80</v>
      </c>
      <c r="J1450" t="s">
        <v>91</v>
      </c>
      <c r="K1450" t="s">
        <v>78</v>
      </c>
      <c r="L1450" t="s">
        <v>985</v>
      </c>
      <c r="M1450" t="s">
        <v>986</v>
      </c>
      <c r="N1450" t="s">
        <v>987</v>
      </c>
      <c r="O1450" t="s">
        <v>82</v>
      </c>
      <c r="P1450" t="str">
        <f>"4170064134                    "</f>
        <v xml:space="preserve">4170064134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50.28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4.0999999999999996</v>
      </c>
      <c r="BK1450">
        <v>4.5</v>
      </c>
      <c r="BL1450">
        <v>159.58000000000001</v>
      </c>
      <c r="BM1450">
        <v>23.94</v>
      </c>
      <c r="BN1450">
        <v>183.52</v>
      </c>
      <c r="BO1450">
        <v>183.52</v>
      </c>
      <c r="BQ1450" t="s">
        <v>988</v>
      </c>
      <c r="BR1450" t="s">
        <v>97</v>
      </c>
      <c r="BS1450" s="3">
        <v>45944</v>
      </c>
      <c r="BT1450" s="4">
        <v>0.36041666666666666</v>
      </c>
      <c r="BU1450" t="s">
        <v>1358</v>
      </c>
      <c r="BV1450" t="s">
        <v>86</v>
      </c>
      <c r="BY1450">
        <v>20358</v>
      </c>
      <c r="CA1450" t="s">
        <v>1359</v>
      </c>
      <c r="CC1450" t="s">
        <v>986</v>
      </c>
      <c r="CD1450">
        <v>7600</v>
      </c>
      <c r="CE1450" t="s">
        <v>191</v>
      </c>
      <c r="CF1450" s="3">
        <v>45945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"080068494914"</f>
        <v>080068494914</v>
      </c>
      <c r="F1451" s="3">
        <v>45943</v>
      </c>
      <c r="G1451">
        <v>202607</v>
      </c>
      <c r="H1451" t="s">
        <v>79</v>
      </c>
      <c r="I1451" t="s">
        <v>80</v>
      </c>
      <c r="J1451" t="s">
        <v>91</v>
      </c>
      <c r="K1451" t="s">
        <v>78</v>
      </c>
      <c r="L1451" t="s">
        <v>1586</v>
      </c>
      <c r="M1451" t="s">
        <v>1587</v>
      </c>
      <c r="N1451" t="s">
        <v>2211</v>
      </c>
      <c r="O1451" t="s">
        <v>82</v>
      </c>
      <c r="P1451" t="str">
        <f>"4170064105                    "</f>
        <v xml:space="preserve">4170064105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22.36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70.959999999999994</v>
      </c>
      <c r="BM1451">
        <v>10.64</v>
      </c>
      <c r="BN1451">
        <v>81.599999999999994</v>
      </c>
      <c r="BO1451">
        <v>81.599999999999994</v>
      </c>
      <c r="BQ1451" t="s">
        <v>2212</v>
      </c>
      <c r="BR1451" t="s">
        <v>97</v>
      </c>
      <c r="BS1451" s="3">
        <v>45944</v>
      </c>
      <c r="BT1451" s="4">
        <v>0.34444444444444444</v>
      </c>
      <c r="BU1451" t="s">
        <v>1695</v>
      </c>
      <c r="BV1451" t="s">
        <v>86</v>
      </c>
      <c r="BY1451">
        <v>1200</v>
      </c>
      <c r="CA1451" t="s">
        <v>2213</v>
      </c>
      <c r="CC1451" t="s">
        <v>1587</v>
      </c>
      <c r="CD1451">
        <v>4319</v>
      </c>
      <c r="CE1451" t="s">
        <v>147</v>
      </c>
      <c r="CF1451" s="3">
        <v>45944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"080068495202"</f>
        <v>080068495202</v>
      </c>
      <c r="F1452" s="3">
        <v>45943</v>
      </c>
      <c r="G1452">
        <v>202607</v>
      </c>
      <c r="H1452" t="s">
        <v>79</v>
      </c>
      <c r="I1452" t="s">
        <v>80</v>
      </c>
      <c r="J1452" t="s">
        <v>91</v>
      </c>
      <c r="K1452" t="s">
        <v>78</v>
      </c>
      <c r="L1452" t="s">
        <v>446</v>
      </c>
      <c r="M1452" t="s">
        <v>447</v>
      </c>
      <c r="N1452" t="s">
        <v>448</v>
      </c>
      <c r="O1452" t="s">
        <v>82</v>
      </c>
      <c r="P1452" t="str">
        <f>"4170064128                    "</f>
        <v xml:space="preserve">4170064128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62.87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3</v>
      </c>
      <c r="BJ1452">
        <v>1.4</v>
      </c>
      <c r="BK1452">
        <v>3</v>
      </c>
      <c r="BL1452">
        <v>199.55</v>
      </c>
      <c r="BM1452">
        <v>29.93</v>
      </c>
      <c r="BN1452">
        <v>229.48</v>
      </c>
      <c r="BO1452">
        <v>229.48</v>
      </c>
      <c r="BQ1452" t="s">
        <v>449</v>
      </c>
      <c r="BR1452" t="s">
        <v>97</v>
      </c>
      <c r="BS1452" s="3">
        <v>45944</v>
      </c>
      <c r="BT1452" s="4">
        <v>0.46388888888888891</v>
      </c>
      <c r="BU1452" t="s">
        <v>2156</v>
      </c>
      <c r="BV1452" t="s">
        <v>86</v>
      </c>
      <c r="BY1452">
        <v>7000</v>
      </c>
      <c r="CA1452" t="s">
        <v>1124</v>
      </c>
      <c r="CC1452" t="s">
        <v>447</v>
      </c>
      <c r="CD1452">
        <v>7130</v>
      </c>
      <c r="CE1452" t="s">
        <v>191</v>
      </c>
      <c r="CF1452" s="3">
        <v>45945</v>
      </c>
      <c r="CI1452">
        <v>1</v>
      </c>
      <c r="CJ1452">
        <v>1</v>
      </c>
      <c r="CK1452">
        <v>23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"080068495223"</f>
        <v>080068495223</v>
      </c>
      <c r="F1453" s="3">
        <v>45943</v>
      </c>
      <c r="G1453">
        <v>202607</v>
      </c>
      <c r="H1453" t="s">
        <v>79</v>
      </c>
      <c r="I1453" t="s">
        <v>80</v>
      </c>
      <c r="J1453" t="s">
        <v>91</v>
      </c>
      <c r="K1453" t="s">
        <v>78</v>
      </c>
      <c r="L1453" t="s">
        <v>121</v>
      </c>
      <c r="M1453" t="s">
        <v>122</v>
      </c>
      <c r="N1453" t="s">
        <v>1557</v>
      </c>
      <c r="O1453" t="s">
        <v>82</v>
      </c>
      <c r="P1453" t="str">
        <f>"4170064095                    "</f>
        <v xml:space="preserve">4170064095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22.36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1.1000000000000001</v>
      </c>
      <c r="BK1453">
        <v>1.5</v>
      </c>
      <c r="BL1453">
        <v>70.959999999999994</v>
      </c>
      <c r="BM1453">
        <v>10.64</v>
      </c>
      <c r="BN1453">
        <v>81.599999999999994</v>
      </c>
      <c r="BO1453">
        <v>81.599999999999994</v>
      </c>
      <c r="BQ1453" t="s">
        <v>1558</v>
      </c>
      <c r="BR1453" t="s">
        <v>97</v>
      </c>
      <c r="BS1453" s="3">
        <v>45944</v>
      </c>
      <c r="BT1453" s="4">
        <v>0.53125</v>
      </c>
      <c r="BU1453" t="s">
        <v>2214</v>
      </c>
      <c r="BV1453" t="s">
        <v>90</v>
      </c>
      <c r="BY1453">
        <v>5510</v>
      </c>
      <c r="CC1453" t="s">
        <v>122</v>
      </c>
      <c r="CD1453">
        <v>4001</v>
      </c>
      <c r="CE1453" t="s">
        <v>191</v>
      </c>
      <c r="CF1453" s="3">
        <v>45945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"080068495242"</f>
        <v>080068495242</v>
      </c>
      <c r="F1454" s="3">
        <v>45943</v>
      </c>
      <c r="G1454">
        <v>202607</v>
      </c>
      <c r="H1454" t="s">
        <v>79</v>
      </c>
      <c r="I1454" t="s">
        <v>80</v>
      </c>
      <c r="J1454" t="s">
        <v>91</v>
      </c>
      <c r="K1454" t="s">
        <v>78</v>
      </c>
      <c r="L1454" t="s">
        <v>121</v>
      </c>
      <c r="M1454" t="s">
        <v>122</v>
      </c>
      <c r="N1454" t="s">
        <v>1023</v>
      </c>
      <c r="O1454" t="s">
        <v>82</v>
      </c>
      <c r="P1454" t="str">
        <f>"4170064131                    "</f>
        <v xml:space="preserve">4170064131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89.37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8</v>
      </c>
      <c r="BJ1454">
        <v>3.5</v>
      </c>
      <c r="BK1454">
        <v>8</v>
      </c>
      <c r="BL1454">
        <v>283.64999999999998</v>
      </c>
      <c r="BM1454">
        <v>42.55</v>
      </c>
      <c r="BN1454">
        <v>326.2</v>
      </c>
      <c r="BO1454">
        <v>326.2</v>
      </c>
      <c r="BQ1454" t="s">
        <v>1024</v>
      </c>
      <c r="BR1454" t="s">
        <v>97</v>
      </c>
      <c r="BS1454" s="3">
        <v>45944</v>
      </c>
      <c r="BT1454" s="4">
        <v>0.43402777777777779</v>
      </c>
      <c r="BU1454" t="s">
        <v>1025</v>
      </c>
      <c r="BV1454" t="s">
        <v>86</v>
      </c>
      <c r="BY1454">
        <v>17600</v>
      </c>
      <c r="CA1454" t="s">
        <v>1406</v>
      </c>
      <c r="CC1454" t="s">
        <v>122</v>
      </c>
      <c r="CD1454">
        <v>4000</v>
      </c>
      <c r="CE1454" t="s">
        <v>107</v>
      </c>
      <c r="CF1454" s="3">
        <v>45944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"080068495263"</f>
        <v>080068495263</v>
      </c>
      <c r="F1455" s="3">
        <v>45943</v>
      </c>
      <c r="G1455">
        <v>202607</v>
      </c>
      <c r="H1455" t="s">
        <v>79</v>
      </c>
      <c r="I1455" t="s">
        <v>80</v>
      </c>
      <c r="J1455" t="s">
        <v>91</v>
      </c>
      <c r="K1455" t="s">
        <v>78</v>
      </c>
      <c r="L1455" t="s">
        <v>121</v>
      </c>
      <c r="M1455" t="s">
        <v>122</v>
      </c>
      <c r="N1455" t="s">
        <v>1557</v>
      </c>
      <c r="O1455" t="s">
        <v>82</v>
      </c>
      <c r="P1455" t="str">
        <f>"4170064135                    "</f>
        <v xml:space="preserve">4170064135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22.36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2</v>
      </c>
      <c r="BJ1455">
        <v>1.6</v>
      </c>
      <c r="BK1455">
        <v>2</v>
      </c>
      <c r="BL1455">
        <v>70.959999999999994</v>
      </c>
      <c r="BM1455">
        <v>10.64</v>
      </c>
      <c r="BN1455">
        <v>81.599999999999994</v>
      </c>
      <c r="BO1455">
        <v>81.599999999999994</v>
      </c>
      <c r="BQ1455" t="s">
        <v>1558</v>
      </c>
      <c r="BR1455" t="s">
        <v>97</v>
      </c>
      <c r="BS1455" s="3">
        <v>45944</v>
      </c>
      <c r="BT1455" s="4">
        <v>0.59861111111111109</v>
      </c>
      <c r="BU1455" t="s">
        <v>1559</v>
      </c>
      <c r="BV1455" t="s">
        <v>90</v>
      </c>
      <c r="BY1455">
        <v>8064</v>
      </c>
      <c r="CA1455" t="s">
        <v>1114</v>
      </c>
      <c r="CC1455" t="s">
        <v>122</v>
      </c>
      <c r="CD1455">
        <v>4001</v>
      </c>
      <c r="CE1455" t="s">
        <v>107</v>
      </c>
      <c r="CF1455" s="3">
        <v>45945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"080068495284"</f>
        <v>080068495284</v>
      </c>
      <c r="F1456" s="3">
        <v>45943</v>
      </c>
      <c r="G1456">
        <v>202607</v>
      </c>
      <c r="H1456" t="s">
        <v>79</v>
      </c>
      <c r="I1456" t="s">
        <v>80</v>
      </c>
      <c r="J1456" t="s">
        <v>91</v>
      </c>
      <c r="K1456" t="s">
        <v>78</v>
      </c>
      <c r="L1456" t="s">
        <v>108</v>
      </c>
      <c r="M1456" t="s">
        <v>109</v>
      </c>
      <c r="N1456" t="s">
        <v>315</v>
      </c>
      <c r="O1456" t="s">
        <v>82</v>
      </c>
      <c r="P1456" t="str">
        <f>"4170064127                    "</f>
        <v xml:space="preserve">4170064127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22.36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70.959999999999994</v>
      </c>
      <c r="BM1456">
        <v>10.64</v>
      </c>
      <c r="BN1456">
        <v>81.599999999999994</v>
      </c>
      <c r="BO1456">
        <v>81.599999999999994</v>
      </c>
      <c r="BQ1456" t="s">
        <v>316</v>
      </c>
      <c r="BR1456" t="s">
        <v>97</v>
      </c>
      <c r="BS1456" s="3">
        <v>45944</v>
      </c>
      <c r="BT1456" s="4">
        <v>0.36666666666666664</v>
      </c>
      <c r="BU1456" t="s">
        <v>2215</v>
      </c>
      <c r="BV1456" t="s">
        <v>86</v>
      </c>
      <c r="BY1456">
        <v>1200</v>
      </c>
      <c r="CA1456" t="s">
        <v>113</v>
      </c>
      <c r="CC1456" t="s">
        <v>109</v>
      </c>
      <c r="CD1456">
        <v>6045</v>
      </c>
      <c r="CE1456" t="s">
        <v>147</v>
      </c>
      <c r="CF1456" s="3">
        <v>45944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"R080068448756"</f>
        <v>R080068448756</v>
      </c>
      <c r="F1457" s="3">
        <v>45944</v>
      </c>
      <c r="G1457">
        <v>202607</v>
      </c>
      <c r="H1457" t="s">
        <v>121</v>
      </c>
      <c r="I1457" t="s">
        <v>122</v>
      </c>
      <c r="J1457" t="s">
        <v>1908</v>
      </c>
      <c r="K1457" t="s">
        <v>78</v>
      </c>
      <c r="L1457" t="s">
        <v>168</v>
      </c>
      <c r="M1457" t="s">
        <v>169</v>
      </c>
      <c r="N1457" t="s">
        <v>2216</v>
      </c>
      <c r="O1457" t="s">
        <v>95</v>
      </c>
      <c r="P1457" t="str">
        <f>"4170063982                    "</f>
        <v xml:space="preserve">4170063982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43.23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5</v>
      </c>
      <c r="BJ1457">
        <v>3.9</v>
      </c>
      <c r="BK1457">
        <v>5</v>
      </c>
      <c r="BL1457">
        <v>143.08000000000001</v>
      </c>
      <c r="BM1457">
        <v>21.46</v>
      </c>
      <c r="BN1457">
        <v>164.54</v>
      </c>
      <c r="BO1457">
        <v>164.54</v>
      </c>
      <c r="BQ1457" t="s">
        <v>2217</v>
      </c>
      <c r="BR1457" t="s">
        <v>1909</v>
      </c>
      <c r="BS1457" s="3">
        <v>45945</v>
      </c>
      <c r="BT1457" s="4">
        <v>0.47986111111111113</v>
      </c>
      <c r="BU1457" t="s">
        <v>2218</v>
      </c>
      <c r="BV1457" t="s">
        <v>86</v>
      </c>
      <c r="BY1457">
        <v>19456</v>
      </c>
      <c r="BZ1457" t="s">
        <v>99</v>
      </c>
      <c r="CA1457">
        <v>8704010766086</v>
      </c>
      <c r="CC1457" t="s">
        <v>169</v>
      </c>
      <c r="CD1457" s="5" t="s">
        <v>979</v>
      </c>
      <c r="CE1457" t="s">
        <v>107</v>
      </c>
      <c r="CF1457" s="3">
        <v>45951</v>
      </c>
      <c r="CI1457">
        <v>1</v>
      </c>
      <c r="CJ1457">
        <v>1</v>
      </c>
      <c r="CK1457">
        <v>41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"080068509438"</f>
        <v>080068509438</v>
      </c>
      <c r="F1458" s="3">
        <v>45944</v>
      </c>
      <c r="G1458">
        <v>202607</v>
      </c>
      <c r="H1458" t="s">
        <v>79</v>
      </c>
      <c r="I1458" t="s">
        <v>80</v>
      </c>
      <c r="J1458" t="s">
        <v>91</v>
      </c>
      <c r="K1458" t="s">
        <v>78</v>
      </c>
      <c r="L1458" t="s">
        <v>121</v>
      </c>
      <c r="M1458" t="s">
        <v>122</v>
      </c>
      <c r="N1458" t="s">
        <v>707</v>
      </c>
      <c r="O1458" t="s">
        <v>82</v>
      </c>
      <c r="P1458" t="str">
        <f>"4170064170                    "</f>
        <v xml:space="preserve">4170064170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22.36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70.959999999999994</v>
      </c>
      <c r="BM1458">
        <v>10.64</v>
      </c>
      <c r="BN1458">
        <v>81.599999999999994</v>
      </c>
      <c r="BO1458">
        <v>81.599999999999994</v>
      </c>
      <c r="BQ1458" t="s">
        <v>708</v>
      </c>
      <c r="BR1458" t="s">
        <v>97</v>
      </c>
      <c r="BS1458" s="3">
        <v>45945</v>
      </c>
      <c r="BT1458" s="4">
        <v>0.41458333333333336</v>
      </c>
      <c r="BU1458" t="s">
        <v>823</v>
      </c>
      <c r="BV1458" t="s">
        <v>86</v>
      </c>
      <c r="BY1458">
        <v>1200</v>
      </c>
      <c r="CA1458" t="s">
        <v>651</v>
      </c>
      <c r="CC1458" t="s">
        <v>122</v>
      </c>
      <c r="CD1458">
        <v>4001</v>
      </c>
      <c r="CE1458" t="s">
        <v>147</v>
      </c>
      <c r="CF1458" s="3">
        <v>45946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"080068509466"</f>
        <v>080068509466</v>
      </c>
      <c r="F1459" s="3">
        <v>45944</v>
      </c>
      <c r="G1459">
        <v>202607</v>
      </c>
      <c r="H1459" t="s">
        <v>79</v>
      </c>
      <c r="I1459" t="s">
        <v>80</v>
      </c>
      <c r="J1459" t="s">
        <v>91</v>
      </c>
      <c r="K1459" t="s">
        <v>78</v>
      </c>
      <c r="L1459" t="s">
        <v>92</v>
      </c>
      <c r="M1459" t="s">
        <v>93</v>
      </c>
      <c r="N1459" t="s">
        <v>192</v>
      </c>
      <c r="O1459" t="s">
        <v>82</v>
      </c>
      <c r="P1459" t="str">
        <f>"4170064179                    "</f>
        <v xml:space="preserve">4170064179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22.36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70.959999999999994</v>
      </c>
      <c r="BM1459">
        <v>10.64</v>
      </c>
      <c r="BN1459">
        <v>81.599999999999994</v>
      </c>
      <c r="BO1459">
        <v>81.599999999999994</v>
      </c>
      <c r="BQ1459" t="s">
        <v>193</v>
      </c>
      <c r="BR1459" t="s">
        <v>97</v>
      </c>
      <c r="BS1459" s="3">
        <v>45945</v>
      </c>
      <c r="BT1459" s="4">
        <v>0.40277777777777779</v>
      </c>
      <c r="BU1459" t="s">
        <v>194</v>
      </c>
      <c r="BV1459" t="s">
        <v>86</v>
      </c>
      <c r="BY1459">
        <v>1200</v>
      </c>
      <c r="CA1459" t="s">
        <v>100</v>
      </c>
      <c r="CC1459" t="s">
        <v>93</v>
      </c>
      <c r="CD1459">
        <v>3201</v>
      </c>
      <c r="CE1459" t="s">
        <v>147</v>
      </c>
      <c r="CF1459" s="3">
        <v>45946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"080068509511"</f>
        <v>080068509511</v>
      </c>
      <c r="F1460" s="3">
        <v>45944</v>
      </c>
      <c r="G1460">
        <v>202607</v>
      </c>
      <c r="H1460" t="s">
        <v>79</v>
      </c>
      <c r="I1460" t="s">
        <v>80</v>
      </c>
      <c r="J1460" t="s">
        <v>91</v>
      </c>
      <c r="K1460" t="s">
        <v>78</v>
      </c>
      <c r="L1460" t="s">
        <v>453</v>
      </c>
      <c r="M1460" t="s">
        <v>454</v>
      </c>
      <c r="N1460" t="s">
        <v>2219</v>
      </c>
      <c r="O1460" t="s">
        <v>82</v>
      </c>
      <c r="P1460" t="str">
        <f>"4170064173                    "</f>
        <v xml:space="preserve">4170064173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22.36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70.959999999999994</v>
      </c>
      <c r="BM1460">
        <v>10.64</v>
      </c>
      <c r="BN1460">
        <v>81.599999999999994</v>
      </c>
      <c r="BO1460">
        <v>81.599999999999994</v>
      </c>
      <c r="BQ1460" t="s">
        <v>2220</v>
      </c>
      <c r="BR1460" t="s">
        <v>97</v>
      </c>
      <c r="BS1460" s="3">
        <v>45945</v>
      </c>
      <c r="BT1460" s="4">
        <v>0.39444444444444443</v>
      </c>
      <c r="BU1460" t="s">
        <v>2221</v>
      </c>
      <c r="BV1460" t="s">
        <v>86</v>
      </c>
      <c r="BY1460">
        <v>1200</v>
      </c>
      <c r="CA1460" t="s">
        <v>457</v>
      </c>
      <c r="CC1460" t="s">
        <v>454</v>
      </c>
      <c r="CD1460">
        <v>3608</v>
      </c>
      <c r="CE1460" t="s">
        <v>147</v>
      </c>
      <c r="CF1460" s="3">
        <v>45945</v>
      </c>
      <c r="CI1460">
        <v>1</v>
      </c>
      <c r="CJ1460">
        <v>1</v>
      </c>
      <c r="CK1460">
        <v>21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"080068509552"</f>
        <v>080068509552</v>
      </c>
      <c r="F1461" s="3">
        <v>45944</v>
      </c>
      <c r="G1461">
        <v>202607</v>
      </c>
      <c r="H1461" t="s">
        <v>79</v>
      </c>
      <c r="I1461" t="s">
        <v>80</v>
      </c>
      <c r="J1461" t="s">
        <v>91</v>
      </c>
      <c r="K1461" t="s">
        <v>78</v>
      </c>
      <c r="L1461" t="s">
        <v>121</v>
      </c>
      <c r="M1461" t="s">
        <v>122</v>
      </c>
      <c r="N1461" t="s">
        <v>123</v>
      </c>
      <c r="O1461" t="s">
        <v>82</v>
      </c>
      <c r="P1461" t="str">
        <f>"4170064151                    "</f>
        <v xml:space="preserve">4170064151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22.36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70.959999999999994</v>
      </c>
      <c r="BM1461">
        <v>10.64</v>
      </c>
      <c r="BN1461">
        <v>81.599999999999994</v>
      </c>
      <c r="BO1461">
        <v>81.599999999999994</v>
      </c>
      <c r="BQ1461" t="s">
        <v>124</v>
      </c>
      <c r="BR1461" t="s">
        <v>97</v>
      </c>
      <c r="BS1461" s="3">
        <v>45945</v>
      </c>
      <c r="BT1461" s="4">
        <v>0.34305555555555556</v>
      </c>
      <c r="BU1461" t="s">
        <v>125</v>
      </c>
      <c r="BV1461" t="s">
        <v>86</v>
      </c>
      <c r="BY1461">
        <v>1200</v>
      </c>
      <c r="CA1461" t="s">
        <v>126</v>
      </c>
      <c r="CC1461" t="s">
        <v>122</v>
      </c>
      <c r="CD1461">
        <v>4000</v>
      </c>
      <c r="CE1461" t="s">
        <v>147</v>
      </c>
      <c r="CF1461" s="3">
        <v>45945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"080068510144"</f>
        <v>080068510144</v>
      </c>
      <c r="F1462" s="3">
        <v>45944</v>
      </c>
      <c r="G1462">
        <v>202607</v>
      </c>
      <c r="H1462" t="s">
        <v>79</v>
      </c>
      <c r="I1462" t="s">
        <v>80</v>
      </c>
      <c r="J1462" t="s">
        <v>91</v>
      </c>
      <c r="K1462" t="s">
        <v>78</v>
      </c>
      <c r="L1462" t="s">
        <v>92</v>
      </c>
      <c r="M1462" t="s">
        <v>93</v>
      </c>
      <c r="N1462" t="s">
        <v>552</v>
      </c>
      <c r="O1462" t="s">
        <v>82</v>
      </c>
      <c r="P1462" t="str">
        <f>"4170064166                    "</f>
        <v xml:space="preserve">4170064166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22.36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70.959999999999994</v>
      </c>
      <c r="BM1462">
        <v>10.64</v>
      </c>
      <c r="BN1462">
        <v>81.599999999999994</v>
      </c>
      <c r="BO1462">
        <v>81.599999999999994</v>
      </c>
      <c r="BQ1462" t="s">
        <v>553</v>
      </c>
      <c r="BR1462" t="s">
        <v>97</v>
      </c>
      <c r="BS1462" s="3">
        <v>45945</v>
      </c>
      <c r="BT1462" s="4">
        <v>0.42430555555555555</v>
      </c>
      <c r="BU1462" t="s">
        <v>2222</v>
      </c>
      <c r="BV1462" t="s">
        <v>86</v>
      </c>
      <c r="BY1462">
        <v>1200</v>
      </c>
      <c r="CA1462" t="s">
        <v>1141</v>
      </c>
      <c r="CC1462" t="s">
        <v>93</v>
      </c>
      <c r="CD1462">
        <v>3201</v>
      </c>
      <c r="CE1462" t="s">
        <v>147</v>
      </c>
      <c r="CF1462" s="3">
        <v>45945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"080068510187"</f>
        <v>080068510187</v>
      </c>
      <c r="F1463" s="3">
        <v>45944</v>
      </c>
      <c r="G1463">
        <v>202607</v>
      </c>
      <c r="H1463" t="s">
        <v>79</v>
      </c>
      <c r="I1463" t="s">
        <v>80</v>
      </c>
      <c r="J1463" t="s">
        <v>91</v>
      </c>
      <c r="K1463" t="s">
        <v>78</v>
      </c>
      <c r="L1463" t="s">
        <v>206</v>
      </c>
      <c r="M1463" t="s">
        <v>207</v>
      </c>
      <c r="N1463" t="s">
        <v>1789</v>
      </c>
      <c r="O1463" t="s">
        <v>82</v>
      </c>
      <c r="P1463" t="str">
        <f>"4170064233                    "</f>
        <v xml:space="preserve">4170064233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22.36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70.959999999999994</v>
      </c>
      <c r="BM1463">
        <v>10.64</v>
      </c>
      <c r="BN1463">
        <v>81.599999999999994</v>
      </c>
      <c r="BO1463">
        <v>81.599999999999994</v>
      </c>
      <c r="BQ1463" t="s">
        <v>1790</v>
      </c>
      <c r="BR1463" t="s">
        <v>97</v>
      </c>
      <c r="BS1463" s="3">
        <v>45945</v>
      </c>
      <c r="BT1463" s="4">
        <v>0.37569444444444444</v>
      </c>
      <c r="BU1463" t="s">
        <v>1791</v>
      </c>
      <c r="BV1463" t="s">
        <v>86</v>
      </c>
      <c r="BY1463">
        <v>1200</v>
      </c>
      <c r="CA1463" t="s">
        <v>415</v>
      </c>
      <c r="CC1463" t="s">
        <v>207</v>
      </c>
      <c r="CD1463">
        <v>7500</v>
      </c>
      <c r="CE1463" t="s">
        <v>147</v>
      </c>
      <c r="CF1463" s="3">
        <v>45946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"080068510233"</f>
        <v>080068510233</v>
      </c>
      <c r="F1464" s="3">
        <v>45944</v>
      </c>
      <c r="G1464">
        <v>202607</v>
      </c>
      <c r="H1464" t="s">
        <v>79</v>
      </c>
      <c r="I1464" t="s">
        <v>80</v>
      </c>
      <c r="J1464" t="s">
        <v>91</v>
      </c>
      <c r="K1464" t="s">
        <v>78</v>
      </c>
      <c r="L1464" t="s">
        <v>306</v>
      </c>
      <c r="M1464" t="s">
        <v>307</v>
      </c>
      <c r="N1464" t="s">
        <v>335</v>
      </c>
      <c r="O1464" t="s">
        <v>82</v>
      </c>
      <c r="P1464" t="str">
        <f>"4170064153                    "</f>
        <v xml:space="preserve">4170064153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22.36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70.959999999999994</v>
      </c>
      <c r="BM1464">
        <v>10.64</v>
      </c>
      <c r="BN1464">
        <v>81.599999999999994</v>
      </c>
      <c r="BO1464">
        <v>81.599999999999994</v>
      </c>
      <c r="BQ1464" t="s">
        <v>475</v>
      </c>
      <c r="BR1464" t="s">
        <v>97</v>
      </c>
      <c r="BS1464" s="3">
        <v>45945</v>
      </c>
      <c r="BT1464" s="4">
        <v>0.75347222222222221</v>
      </c>
      <c r="BU1464" t="s">
        <v>476</v>
      </c>
      <c r="BV1464" t="s">
        <v>90</v>
      </c>
      <c r="BW1464" t="s">
        <v>136</v>
      </c>
      <c r="BX1464" t="s">
        <v>858</v>
      </c>
      <c r="BY1464">
        <v>1200</v>
      </c>
      <c r="CA1464" t="s">
        <v>311</v>
      </c>
      <c r="CC1464" t="s">
        <v>307</v>
      </c>
      <c r="CD1464">
        <v>4133</v>
      </c>
      <c r="CE1464" t="s">
        <v>147</v>
      </c>
      <c r="CF1464" s="3">
        <v>45946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"080068510236"</f>
        <v>080068510236</v>
      </c>
      <c r="F1465" s="3">
        <v>45944</v>
      </c>
      <c r="G1465">
        <v>202607</v>
      </c>
      <c r="H1465" t="s">
        <v>79</v>
      </c>
      <c r="I1465" t="s">
        <v>80</v>
      </c>
      <c r="J1465" t="s">
        <v>91</v>
      </c>
      <c r="K1465" t="s">
        <v>78</v>
      </c>
      <c r="L1465" t="s">
        <v>453</v>
      </c>
      <c r="M1465" t="s">
        <v>454</v>
      </c>
      <c r="N1465" t="s">
        <v>665</v>
      </c>
      <c r="O1465" t="s">
        <v>82</v>
      </c>
      <c r="P1465" t="str">
        <f>"4170064163                    "</f>
        <v xml:space="preserve">4170064163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100.54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4</v>
      </c>
      <c r="BJ1465">
        <v>8.9</v>
      </c>
      <c r="BK1465">
        <v>9</v>
      </c>
      <c r="BL1465">
        <v>319.10000000000002</v>
      </c>
      <c r="BM1465">
        <v>47.87</v>
      </c>
      <c r="BN1465">
        <v>366.97</v>
      </c>
      <c r="BO1465">
        <v>366.97</v>
      </c>
      <c r="BQ1465" t="s">
        <v>666</v>
      </c>
      <c r="BR1465" t="s">
        <v>97</v>
      </c>
      <c r="BS1465" s="3">
        <v>45945</v>
      </c>
      <c r="BT1465" s="4">
        <v>0.47986111111111113</v>
      </c>
      <c r="BU1465" t="s">
        <v>667</v>
      </c>
      <c r="BV1465" t="s">
        <v>86</v>
      </c>
      <c r="BY1465">
        <v>44640</v>
      </c>
      <c r="CA1465" t="s">
        <v>742</v>
      </c>
      <c r="CC1465" t="s">
        <v>454</v>
      </c>
      <c r="CD1465">
        <v>3610</v>
      </c>
      <c r="CE1465" t="s">
        <v>191</v>
      </c>
      <c r="CF1465" s="3">
        <v>45946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"080068510261"</f>
        <v>080068510261</v>
      </c>
      <c r="F1466" s="3">
        <v>45944</v>
      </c>
      <c r="G1466">
        <v>202607</v>
      </c>
      <c r="H1466" t="s">
        <v>79</v>
      </c>
      <c r="I1466" t="s">
        <v>80</v>
      </c>
      <c r="J1466" t="s">
        <v>91</v>
      </c>
      <c r="K1466" t="s">
        <v>78</v>
      </c>
      <c r="L1466" t="s">
        <v>206</v>
      </c>
      <c r="M1466" t="s">
        <v>207</v>
      </c>
      <c r="N1466" t="s">
        <v>1062</v>
      </c>
      <c r="O1466" t="s">
        <v>82</v>
      </c>
      <c r="P1466" t="str">
        <f>"4170064156                    "</f>
        <v xml:space="preserve">4170064156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22.36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70.959999999999994</v>
      </c>
      <c r="BM1466">
        <v>10.64</v>
      </c>
      <c r="BN1466">
        <v>81.599999999999994</v>
      </c>
      <c r="BO1466">
        <v>81.599999999999994</v>
      </c>
      <c r="BQ1466" t="s">
        <v>1063</v>
      </c>
      <c r="BR1466" t="s">
        <v>97</v>
      </c>
      <c r="BS1466" s="3">
        <v>45945</v>
      </c>
      <c r="BT1466" s="4">
        <v>0.38055555555555554</v>
      </c>
      <c r="BU1466" t="s">
        <v>1362</v>
      </c>
      <c r="BV1466" t="s">
        <v>86</v>
      </c>
      <c r="BY1466">
        <v>1200</v>
      </c>
      <c r="CA1466" t="s">
        <v>211</v>
      </c>
      <c r="CC1466" t="s">
        <v>207</v>
      </c>
      <c r="CD1466">
        <v>8001</v>
      </c>
      <c r="CE1466" t="s">
        <v>147</v>
      </c>
      <c r="CF1466" s="3">
        <v>45946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"080068510381"</f>
        <v>080068510381</v>
      </c>
      <c r="F1467" s="3">
        <v>45944</v>
      </c>
      <c r="G1467">
        <v>202607</v>
      </c>
      <c r="H1467" t="s">
        <v>79</v>
      </c>
      <c r="I1467" t="s">
        <v>80</v>
      </c>
      <c r="J1467" t="s">
        <v>91</v>
      </c>
      <c r="K1467" t="s">
        <v>78</v>
      </c>
      <c r="L1467" t="s">
        <v>265</v>
      </c>
      <c r="M1467" t="s">
        <v>266</v>
      </c>
      <c r="N1467" t="s">
        <v>587</v>
      </c>
      <c r="O1467" t="s">
        <v>82</v>
      </c>
      <c r="P1467" t="str">
        <f>"4170064157                    "</f>
        <v xml:space="preserve">4170064157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44.69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4</v>
      </c>
      <c r="BJ1467">
        <v>1.7</v>
      </c>
      <c r="BK1467">
        <v>4</v>
      </c>
      <c r="BL1467">
        <v>141.85</v>
      </c>
      <c r="BM1467">
        <v>21.28</v>
      </c>
      <c r="BN1467">
        <v>163.13</v>
      </c>
      <c r="BO1467">
        <v>163.13</v>
      </c>
      <c r="BQ1467" t="s">
        <v>588</v>
      </c>
      <c r="BR1467" t="s">
        <v>97</v>
      </c>
      <c r="BS1467" s="3">
        <v>45945</v>
      </c>
      <c r="BT1467" s="4">
        <v>0.3576388888888889</v>
      </c>
      <c r="BU1467" t="s">
        <v>2223</v>
      </c>
      <c r="BV1467" t="s">
        <v>86</v>
      </c>
      <c r="BY1467">
        <v>8550</v>
      </c>
      <c r="CA1467" t="s">
        <v>818</v>
      </c>
      <c r="CC1467" t="s">
        <v>266</v>
      </c>
      <c r="CD1467">
        <v>6229</v>
      </c>
      <c r="CE1467" t="s">
        <v>191</v>
      </c>
      <c r="CF1467" s="3">
        <v>45945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"080068510422"</f>
        <v>080068510422</v>
      </c>
      <c r="F1468" s="3">
        <v>45944</v>
      </c>
      <c r="G1468">
        <v>202607</v>
      </c>
      <c r="H1468" t="s">
        <v>79</v>
      </c>
      <c r="I1468" t="s">
        <v>80</v>
      </c>
      <c r="J1468" t="s">
        <v>91</v>
      </c>
      <c r="K1468" t="s">
        <v>78</v>
      </c>
      <c r="L1468" t="s">
        <v>246</v>
      </c>
      <c r="M1468" t="s">
        <v>247</v>
      </c>
      <c r="N1468" t="s">
        <v>248</v>
      </c>
      <c r="O1468" t="s">
        <v>95</v>
      </c>
      <c r="P1468" t="str">
        <f>"4170064144                    "</f>
        <v xml:space="preserve">4170064144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60.97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16.739999999999998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4</v>
      </c>
      <c r="BJ1468">
        <v>1.4</v>
      </c>
      <c r="BK1468">
        <v>4</v>
      </c>
      <c r="BL1468">
        <v>216.13</v>
      </c>
      <c r="BM1468">
        <v>32.42</v>
      </c>
      <c r="BN1468">
        <v>248.55</v>
      </c>
      <c r="BO1468">
        <v>248.55</v>
      </c>
      <c r="BQ1468" t="s">
        <v>249</v>
      </c>
      <c r="BR1468" t="s">
        <v>97</v>
      </c>
      <c r="BS1468" s="3">
        <v>45945</v>
      </c>
      <c r="BT1468" s="4">
        <v>0.48680555555555555</v>
      </c>
      <c r="BU1468" t="s">
        <v>1775</v>
      </c>
      <c r="BV1468" t="s">
        <v>86</v>
      </c>
      <c r="BY1468">
        <v>7000</v>
      </c>
      <c r="BZ1468" t="s">
        <v>30</v>
      </c>
      <c r="CC1468" t="s">
        <v>247</v>
      </c>
      <c r="CD1468" s="5" t="s">
        <v>252</v>
      </c>
      <c r="CE1468" t="s">
        <v>191</v>
      </c>
      <c r="CF1468" s="3">
        <v>45946</v>
      </c>
      <c r="CI1468">
        <v>1</v>
      </c>
      <c r="CJ1468">
        <v>1</v>
      </c>
      <c r="CK1468">
        <v>43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"080068510458"</f>
        <v>080068510458</v>
      </c>
      <c r="F1469" s="3">
        <v>45944</v>
      </c>
      <c r="G1469">
        <v>202607</v>
      </c>
      <c r="H1469" t="s">
        <v>79</v>
      </c>
      <c r="I1469" t="s">
        <v>80</v>
      </c>
      <c r="J1469" t="s">
        <v>91</v>
      </c>
      <c r="K1469" t="s">
        <v>78</v>
      </c>
      <c r="L1469" t="s">
        <v>114</v>
      </c>
      <c r="M1469" t="s">
        <v>115</v>
      </c>
      <c r="N1469" t="s">
        <v>1577</v>
      </c>
      <c r="O1469" t="s">
        <v>82</v>
      </c>
      <c r="P1469" t="str">
        <f>"4170064146                    "</f>
        <v xml:space="preserve">4170064146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22.36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0.7</v>
      </c>
      <c r="BK1469">
        <v>1</v>
      </c>
      <c r="BL1469">
        <v>70.959999999999994</v>
      </c>
      <c r="BM1469">
        <v>10.64</v>
      </c>
      <c r="BN1469">
        <v>81.599999999999994</v>
      </c>
      <c r="BO1469">
        <v>81.599999999999994</v>
      </c>
      <c r="BQ1469" t="s">
        <v>1578</v>
      </c>
      <c r="BR1469" t="s">
        <v>97</v>
      </c>
      <c r="BS1469" s="3">
        <v>45945</v>
      </c>
      <c r="BT1469" s="4">
        <v>0.66319444444444442</v>
      </c>
      <c r="BU1469" t="s">
        <v>2224</v>
      </c>
      <c r="BV1469" t="s">
        <v>90</v>
      </c>
      <c r="BY1469">
        <v>3306</v>
      </c>
      <c r="CA1469" t="s">
        <v>119</v>
      </c>
      <c r="CC1469" t="s">
        <v>115</v>
      </c>
      <c r="CD1469">
        <v>5201</v>
      </c>
      <c r="CE1469" t="s">
        <v>191</v>
      </c>
      <c r="CF1469" s="3">
        <v>45946</v>
      </c>
      <c r="CI1469">
        <v>1</v>
      </c>
      <c r="CJ1469">
        <v>1</v>
      </c>
      <c r="CK1469">
        <v>21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"080068510497"</f>
        <v>080068510497</v>
      </c>
      <c r="F1470" s="3">
        <v>45944</v>
      </c>
      <c r="G1470">
        <v>202607</v>
      </c>
      <c r="H1470" t="s">
        <v>79</v>
      </c>
      <c r="I1470" t="s">
        <v>80</v>
      </c>
      <c r="J1470" t="s">
        <v>91</v>
      </c>
      <c r="K1470" t="s">
        <v>78</v>
      </c>
      <c r="L1470" t="s">
        <v>168</v>
      </c>
      <c r="M1470" t="s">
        <v>169</v>
      </c>
      <c r="N1470" t="s">
        <v>2225</v>
      </c>
      <c r="O1470" t="s">
        <v>82</v>
      </c>
      <c r="P1470" t="str">
        <f>"4170064132                    "</f>
        <v xml:space="preserve">4170064132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22.36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</v>
      </c>
      <c r="BJ1470">
        <v>0.7</v>
      </c>
      <c r="BK1470">
        <v>2</v>
      </c>
      <c r="BL1470">
        <v>70.959999999999994</v>
      </c>
      <c r="BM1470">
        <v>10.64</v>
      </c>
      <c r="BN1470">
        <v>81.599999999999994</v>
      </c>
      <c r="BO1470">
        <v>81.599999999999994</v>
      </c>
      <c r="BQ1470" t="s">
        <v>2226</v>
      </c>
      <c r="BR1470" t="s">
        <v>97</v>
      </c>
      <c r="BS1470" s="3">
        <v>45945</v>
      </c>
      <c r="BT1470" s="4">
        <v>0.3888888888888889</v>
      </c>
      <c r="BU1470" t="s">
        <v>2227</v>
      </c>
      <c r="BV1470" t="s">
        <v>86</v>
      </c>
      <c r="BY1470">
        <v>3306</v>
      </c>
      <c r="CA1470">
        <v>9103185460089</v>
      </c>
      <c r="CC1470" t="s">
        <v>169</v>
      </c>
      <c r="CD1470" s="5" t="s">
        <v>1061</v>
      </c>
      <c r="CE1470" t="s">
        <v>191</v>
      </c>
      <c r="CF1470" s="3">
        <v>45945</v>
      </c>
      <c r="CI1470">
        <v>1</v>
      </c>
      <c r="CJ1470">
        <v>1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"080068510530"</f>
        <v>080068510530</v>
      </c>
      <c r="F1471" s="3">
        <v>45944</v>
      </c>
      <c r="G1471">
        <v>202607</v>
      </c>
      <c r="H1471" t="s">
        <v>79</v>
      </c>
      <c r="I1471" t="s">
        <v>80</v>
      </c>
      <c r="J1471" t="s">
        <v>91</v>
      </c>
      <c r="K1471" t="s">
        <v>78</v>
      </c>
      <c r="L1471" t="s">
        <v>223</v>
      </c>
      <c r="M1471" t="s">
        <v>224</v>
      </c>
      <c r="N1471" t="s">
        <v>225</v>
      </c>
      <c r="O1471" t="s">
        <v>226</v>
      </c>
      <c r="P1471" t="str">
        <f>"4170064235                    "</f>
        <v xml:space="preserve">4170064235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17.47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2</v>
      </c>
      <c r="BJ1471">
        <v>7.9</v>
      </c>
      <c r="BK1471">
        <v>8</v>
      </c>
      <c r="BL1471">
        <v>55.44</v>
      </c>
      <c r="BM1471">
        <v>8.32</v>
      </c>
      <c r="BN1471">
        <v>63.76</v>
      </c>
      <c r="BO1471">
        <v>63.76</v>
      </c>
      <c r="BQ1471" t="s">
        <v>227</v>
      </c>
      <c r="BR1471" t="s">
        <v>97</v>
      </c>
      <c r="BS1471" s="3">
        <v>45945</v>
      </c>
      <c r="BT1471" s="4">
        <v>0.33402777777777776</v>
      </c>
      <c r="BU1471" t="s">
        <v>2228</v>
      </c>
      <c r="BV1471" t="s">
        <v>86</v>
      </c>
      <c r="BY1471">
        <v>39585</v>
      </c>
      <c r="CA1471" t="s">
        <v>1459</v>
      </c>
      <c r="CC1471" t="s">
        <v>224</v>
      </c>
      <c r="CD1471">
        <v>1459</v>
      </c>
      <c r="CE1471" t="s">
        <v>191</v>
      </c>
      <c r="CF1471" s="3">
        <v>45945</v>
      </c>
      <c r="CI1471">
        <v>1</v>
      </c>
      <c r="CJ1471">
        <v>1</v>
      </c>
      <c r="CK1471">
        <v>32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"080068510708"</f>
        <v>080068510708</v>
      </c>
      <c r="F1472" s="3">
        <v>45944</v>
      </c>
      <c r="G1472">
        <v>202607</v>
      </c>
      <c r="H1472" t="s">
        <v>79</v>
      </c>
      <c r="I1472" t="s">
        <v>80</v>
      </c>
      <c r="J1472" t="s">
        <v>91</v>
      </c>
      <c r="K1472" t="s">
        <v>78</v>
      </c>
      <c r="L1472" t="s">
        <v>174</v>
      </c>
      <c r="M1472" t="s">
        <v>175</v>
      </c>
      <c r="N1472" t="s">
        <v>176</v>
      </c>
      <c r="O1472" t="s">
        <v>95</v>
      </c>
      <c r="P1472" t="str">
        <f>"4170064145                    "</f>
        <v xml:space="preserve">4170064145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78.22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2</v>
      </c>
      <c r="BI1472">
        <v>26</v>
      </c>
      <c r="BJ1472">
        <v>60.7</v>
      </c>
      <c r="BK1472">
        <v>61</v>
      </c>
      <c r="BL1472">
        <v>254.13</v>
      </c>
      <c r="BM1472">
        <v>38.119999999999997</v>
      </c>
      <c r="BN1472">
        <v>292.25</v>
      </c>
      <c r="BO1472">
        <v>292.25</v>
      </c>
      <c r="BQ1472" t="s">
        <v>177</v>
      </c>
      <c r="BR1472" t="s">
        <v>97</v>
      </c>
      <c r="BS1472" s="3">
        <v>45946</v>
      </c>
      <c r="BT1472" s="4">
        <v>0.48333333333333334</v>
      </c>
      <c r="BU1472" t="s">
        <v>2229</v>
      </c>
      <c r="BV1472" t="s">
        <v>90</v>
      </c>
      <c r="BW1472" t="s">
        <v>2230</v>
      </c>
      <c r="BX1472" t="s">
        <v>1317</v>
      </c>
      <c r="BY1472">
        <v>151800</v>
      </c>
      <c r="CC1472" t="s">
        <v>175</v>
      </c>
      <c r="CD1472">
        <v>1540</v>
      </c>
      <c r="CE1472" t="s">
        <v>2005</v>
      </c>
      <c r="CF1472" s="3">
        <v>45947</v>
      </c>
      <c r="CI1472">
        <v>1</v>
      </c>
      <c r="CJ1472">
        <v>2</v>
      </c>
      <c r="CK1472">
        <v>42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"080068510744"</f>
        <v>080068510744</v>
      </c>
      <c r="F1473" s="3">
        <v>45944</v>
      </c>
      <c r="G1473">
        <v>202607</v>
      </c>
      <c r="H1473" t="s">
        <v>79</v>
      </c>
      <c r="I1473" t="s">
        <v>80</v>
      </c>
      <c r="J1473" t="s">
        <v>91</v>
      </c>
      <c r="K1473" t="s">
        <v>78</v>
      </c>
      <c r="L1473" t="s">
        <v>809</v>
      </c>
      <c r="M1473" t="s">
        <v>810</v>
      </c>
      <c r="N1473" t="s">
        <v>2231</v>
      </c>
      <c r="O1473" t="s">
        <v>82</v>
      </c>
      <c r="P1473" t="str">
        <f>"4170064159                    "</f>
        <v xml:space="preserve">4170064159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17.46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3.6</v>
      </c>
      <c r="BK1473">
        <v>4</v>
      </c>
      <c r="BL1473">
        <v>55.42</v>
      </c>
      <c r="BM1473">
        <v>8.31</v>
      </c>
      <c r="BN1473">
        <v>63.73</v>
      </c>
      <c r="BO1473">
        <v>63.73</v>
      </c>
      <c r="BQ1473" t="s">
        <v>2232</v>
      </c>
      <c r="BR1473" t="s">
        <v>97</v>
      </c>
      <c r="BS1473" s="3">
        <v>45945</v>
      </c>
      <c r="BT1473" s="4">
        <v>0.42708333333333331</v>
      </c>
      <c r="BU1473" t="s">
        <v>400</v>
      </c>
      <c r="BV1473" t="s">
        <v>86</v>
      </c>
      <c r="BY1473">
        <v>18228</v>
      </c>
      <c r="CA1473" t="s">
        <v>1421</v>
      </c>
      <c r="CC1473" t="s">
        <v>810</v>
      </c>
      <c r="CD1473">
        <v>1709</v>
      </c>
      <c r="CE1473" t="s">
        <v>107</v>
      </c>
      <c r="CF1473" s="3">
        <v>45945</v>
      </c>
      <c r="CI1473">
        <v>1</v>
      </c>
      <c r="CJ1473">
        <v>1</v>
      </c>
      <c r="CK1473">
        <v>22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"080068510761"</f>
        <v>080068510761</v>
      </c>
      <c r="F1474" s="3">
        <v>45944</v>
      </c>
      <c r="G1474">
        <v>202607</v>
      </c>
      <c r="H1474" t="s">
        <v>79</v>
      </c>
      <c r="I1474" t="s">
        <v>80</v>
      </c>
      <c r="J1474" t="s">
        <v>91</v>
      </c>
      <c r="K1474" t="s">
        <v>78</v>
      </c>
      <c r="L1474" t="s">
        <v>265</v>
      </c>
      <c r="M1474" t="s">
        <v>266</v>
      </c>
      <c r="N1474" t="s">
        <v>2233</v>
      </c>
      <c r="O1474" t="s">
        <v>82</v>
      </c>
      <c r="P1474" t="str">
        <f>"4170064209                    "</f>
        <v xml:space="preserve">4170064209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22.36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2</v>
      </c>
      <c r="BJ1474">
        <v>0.7</v>
      </c>
      <c r="BK1474">
        <v>2</v>
      </c>
      <c r="BL1474">
        <v>70.959999999999994</v>
      </c>
      <c r="BM1474">
        <v>10.64</v>
      </c>
      <c r="BN1474">
        <v>81.599999999999994</v>
      </c>
      <c r="BO1474">
        <v>81.599999999999994</v>
      </c>
      <c r="BQ1474" t="s">
        <v>2234</v>
      </c>
      <c r="BR1474" t="s">
        <v>97</v>
      </c>
      <c r="BS1474" s="3">
        <v>45945</v>
      </c>
      <c r="BT1474" s="4">
        <v>0.33958333333333335</v>
      </c>
      <c r="BU1474" t="s">
        <v>2235</v>
      </c>
      <c r="BV1474" t="s">
        <v>86</v>
      </c>
      <c r="BY1474">
        <v>3306</v>
      </c>
      <c r="CA1474" t="s">
        <v>818</v>
      </c>
      <c r="CC1474" t="s">
        <v>266</v>
      </c>
      <c r="CD1474">
        <v>6229</v>
      </c>
      <c r="CE1474" t="s">
        <v>191</v>
      </c>
      <c r="CF1474" s="3">
        <v>45945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"080068510779"</f>
        <v>080068510779</v>
      </c>
      <c r="F1475" s="3">
        <v>45944</v>
      </c>
      <c r="G1475">
        <v>202607</v>
      </c>
      <c r="H1475" t="s">
        <v>79</v>
      </c>
      <c r="I1475" t="s">
        <v>80</v>
      </c>
      <c r="J1475" t="s">
        <v>91</v>
      </c>
      <c r="K1475" t="s">
        <v>78</v>
      </c>
      <c r="L1475" t="s">
        <v>530</v>
      </c>
      <c r="M1475" t="s">
        <v>531</v>
      </c>
      <c r="N1475" t="s">
        <v>532</v>
      </c>
      <c r="O1475" t="s">
        <v>82</v>
      </c>
      <c r="P1475" t="str">
        <f>"4170064184                    "</f>
        <v xml:space="preserve">4170064184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43.31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1.9</v>
      </c>
      <c r="BK1475">
        <v>2</v>
      </c>
      <c r="BL1475">
        <v>137.47</v>
      </c>
      <c r="BM1475">
        <v>20.62</v>
      </c>
      <c r="BN1475">
        <v>158.09</v>
      </c>
      <c r="BO1475">
        <v>158.09</v>
      </c>
      <c r="BQ1475" t="s">
        <v>533</v>
      </c>
      <c r="BR1475" t="s">
        <v>97</v>
      </c>
      <c r="BS1475" s="3">
        <v>45945</v>
      </c>
      <c r="BT1475" s="4">
        <v>0.53611111111111109</v>
      </c>
      <c r="BU1475" t="s">
        <v>2236</v>
      </c>
      <c r="BV1475" t="s">
        <v>86</v>
      </c>
      <c r="BY1475">
        <v>9600</v>
      </c>
      <c r="CA1475" t="s">
        <v>535</v>
      </c>
      <c r="CC1475" t="s">
        <v>531</v>
      </c>
      <c r="CD1475">
        <v>6850</v>
      </c>
      <c r="CE1475" t="s">
        <v>191</v>
      </c>
      <c r="CF1475" s="3">
        <v>45946</v>
      </c>
      <c r="CI1475">
        <v>2</v>
      </c>
      <c r="CJ1475">
        <v>1</v>
      </c>
      <c r="CK1475">
        <v>23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"080068510810"</f>
        <v>080068510810</v>
      </c>
      <c r="F1476" s="3">
        <v>45944</v>
      </c>
      <c r="G1476">
        <v>202607</v>
      </c>
      <c r="H1476" t="s">
        <v>79</v>
      </c>
      <c r="I1476" t="s">
        <v>80</v>
      </c>
      <c r="J1476" t="s">
        <v>91</v>
      </c>
      <c r="K1476" t="s">
        <v>78</v>
      </c>
      <c r="L1476" t="s">
        <v>233</v>
      </c>
      <c r="M1476" t="s">
        <v>234</v>
      </c>
      <c r="N1476" t="s">
        <v>2086</v>
      </c>
      <c r="O1476" t="s">
        <v>82</v>
      </c>
      <c r="P1476" t="str">
        <f>"4170064150                    "</f>
        <v xml:space="preserve">4170064150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22.36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70.959999999999994</v>
      </c>
      <c r="BM1476">
        <v>10.64</v>
      </c>
      <c r="BN1476">
        <v>81.599999999999994</v>
      </c>
      <c r="BO1476">
        <v>81.599999999999994</v>
      </c>
      <c r="BQ1476" t="s">
        <v>2087</v>
      </c>
      <c r="BR1476" t="s">
        <v>97</v>
      </c>
      <c r="BS1476" s="3">
        <v>45945</v>
      </c>
      <c r="BT1476" s="4">
        <v>0.43472222222222223</v>
      </c>
      <c r="BU1476" t="s">
        <v>2237</v>
      </c>
      <c r="BV1476" t="s">
        <v>86</v>
      </c>
      <c r="BY1476">
        <v>1200</v>
      </c>
      <c r="CA1476">
        <v>8802126406082</v>
      </c>
      <c r="CC1476" t="s">
        <v>234</v>
      </c>
      <c r="CD1476" s="5" t="s">
        <v>238</v>
      </c>
      <c r="CE1476" t="s">
        <v>147</v>
      </c>
      <c r="CF1476" s="3">
        <v>45945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"080068510833"</f>
        <v>080068510833</v>
      </c>
      <c r="F1477" s="3">
        <v>45944</v>
      </c>
      <c r="G1477">
        <v>202607</v>
      </c>
      <c r="H1477" t="s">
        <v>79</v>
      </c>
      <c r="I1477" t="s">
        <v>80</v>
      </c>
      <c r="J1477" t="s">
        <v>91</v>
      </c>
      <c r="K1477" t="s">
        <v>78</v>
      </c>
      <c r="L1477" t="s">
        <v>1836</v>
      </c>
      <c r="M1477" t="s">
        <v>1837</v>
      </c>
      <c r="N1477" t="s">
        <v>1838</v>
      </c>
      <c r="O1477" t="s">
        <v>82</v>
      </c>
      <c r="P1477" t="str">
        <f>"4170064147                    "</f>
        <v xml:space="preserve">4170064147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43.31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137.47</v>
      </c>
      <c r="BM1477">
        <v>20.62</v>
      </c>
      <c r="BN1477">
        <v>158.09</v>
      </c>
      <c r="BO1477">
        <v>158.09</v>
      </c>
      <c r="BQ1477" t="s">
        <v>1839</v>
      </c>
      <c r="BR1477" t="s">
        <v>97</v>
      </c>
      <c r="BS1477" s="3">
        <v>45946</v>
      </c>
      <c r="BT1477" s="4">
        <v>0.44166666666666665</v>
      </c>
      <c r="BU1477" t="s">
        <v>2238</v>
      </c>
      <c r="BV1477" t="s">
        <v>90</v>
      </c>
      <c r="BW1477" t="s">
        <v>136</v>
      </c>
      <c r="BX1477" t="s">
        <v>858</v>
      </c>
      <c r="BY1477">
        <v>1200</v>
      </c>
      <c r="CA1477" t="s">
        <v>2239</v>
      </c>
      <c r="CC1477" t="s">
        <v>1837</v>
      </c>
      <c r="CD1477">
        <v>4170</v>
      </c>
      <c r="CE1477" t="s">
        <v>147</v>
      </c>
      <c r="CF1477" s="3">
        <v>45946</v>
      </c>
      <c r="CI1477">
        <v>1</v>
      </c>
      <c r="CJ1477">
        <v>2</v>
      </c>
      <c r="CK1477">
        <v>23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"080068510858"</f>
        <v>080068510858</v>
      </c>
      <c r="F1478" s="3">
        <v>45944</v>
      </c>
      <c r="G1478">
        <v>202607</v>
      </c>
      <c r="H1478" t="s">
        <v>79</v>
      </c>
      <c r="I1478" t="s">
        <v>80</v>
      </c>
      <c r="J1478" t="s">
        <v>91</v>
      </c>
      <c r="K1478" t="s">
        <v>78</v>
      </c>
      <c r="L1478" t="s">
        <v>121</v>
      </c>
      <c r="M1478" t="s">
        <v>122</v>
      </c>
      <c r="N1478" t="s">
        <v>1474</v>
      </c>
      <c r="O1478" t="s">
        <v>82</v>
      </c>
      <c r="P1478" t="str">
        <f>"4170064198                    "</f>
        <v xml:space="preserve">4170064198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22.36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70.959999999999994</v>
      </c>
      <c r="BM1478">
        <v>10.64</v>
      </c>
      <c r="BN1478">
        <v>81.599999999999994</v>
      </c>
      <c r="BO1478">
        <v>81.599999999999994</v>
      </c>
      <c r="BQ1478" t="s">
        <v>1475</v>
      </c>
      <c r="BR1478" t="s">
        <v>97</v>
      </c>
      <c r="BS1478" s="3">
        <v>45945</v>
      </c>
      <c r="BT1478" s="4">
        <v>0.37222222222222223</v>
      </c>
      <c r="BU1478" t="s">
        <v>2240</v>
      </c>
      <c r="BV1478" t="s">
        <v>86</v>
      </c>
      <c r="BY1478">
        <v>1200</v>
      </c>
      <c r="CA1478" t="s">
        <v>311</v>
      </c>
      <c r="CC1478" t="s">
        <v>122</v>
      </c>
      <c r="CD1478">
        <v>4052</v>
      </c>
      <c r="CE1478" t="s">
        <v>147</v>
      </c>
      <c r="CF1478" s="3">
        <v>45946</v>
      </c>
      <c r="CI1478">
        <v>1</v>
      </c>
      <c r="CJ1478">
        <v>1</v>
      </c>
      <c r="CK1478">
        <v>21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"080068510910"</f>
        <v>080068510910</v>
      </c>
      <c r="F1479" s="3">
        <v>45944</v>
      </c>
      <c r="G1479">
        <v>202607</v>
      </c>
      <c r="H1479" t="s">
        <v>79</v>
      </c>
      <c r="I1479" t="s">
        <v>80</v>
      </c>
      <c r="J1479" t="s">
        <v>91</v>
      </c>
      <c r="K1479" t="s">
        <v>78</v>
      </c>
      <c r="L1479" t="s">
        <v>79</v>
      </c>
      <c r="M1479" t="s">
        <v>80</v>
      </c>
      <c r="N1479" t="s">
        <v>830</v>
      </c>
      <c r="O1479" t="s">
        <v>82</v>
      </c>
      <c r="P1479" t="str">
        <f>"4170064169                    "</f>
        <v xml:space="preserve">4170064169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17.46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55.42</v>
      </c>
      <c r="BM1479">
        <v>8.31</v>
      </c>
      <c r="BN1479">
        <v>63.73</v>
      </c>
      <c r="BO1479">
        <v>63.73</v>
      </c>
      <c r="BQ1479" t="s">
        <v>831</v>
      </c>
      <c r="BR1479" t="s">
        <v>97</v>
      </c>
      <c r="BS1479" s="3">
        <v>45945</v>
      </c>
      <c r="BT1479" s="4">
        <v>0.40208333333333335</v>
      </c>
      <c r="BU1479" t="s">
        <v>2241</v>
      </c>
      <c r="BV1479" t="s">
        <v>86</v>
      </c>
      <c r="BY1479">
        <v>1200</v>
      </c>
      <c r="CA1479" t="s">
        <v>631</v>
      </c>
      <c r="CC1479" t="s">
        <v>80</v>
      </c>
      <c r="CD1479">
        <v>1619</v>
      </c>
      <c r="CE1479" t="s">
        <v>147</v>
      </c>
      <c r="CF1479" s="3">
        <v>45945</v>
      </c>
      <c r="CI1479">
        <v>1</v>
      </c>
      <c r="CJ1479">
        <v>1</v>
      </c>
      <c r="CK1479">
        <v>22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"080068510937"</f>
        <v>080068510937</v>
      </c>
      <c r="F1480" s="3">
        <v>45944</v>
      </c>
      <c r="G1480">
        <v>202607</v>
      </c>
      <c r="H1480" t="s">
        <v>79</v>
      </c>
      <c r="I1480" t="s">
        <v>80</v>
      </c>
      <c r="J1480" t="s">
        <v>91</v>
      </c>
      <c r="K1480" t="s">
        <v>78</v>
      </c>
      <c r="L1480" t="s">
        <v>1008</v>
      </c>
      <c r="M1480" t="s">
        <v>1009</v>
      </c>
      <c r="N1480" t="s">
        <v>1344</v>
      </c>
      <c r="O1480" t="s">
        <v>82</v>
      </c>
      <c r="P1480" t="str">
        <f>"4170064152                    "</f>
        <v xml:space="preserve">4170064152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31.44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16.739999999999998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116.53</v>
      </c>
      <c r="BM1480">
        <v>17.48</v>
      </c>
      <c r="BN1480">
        <v>134.01</v>
      </c>
      <c r="BO1480">
        <v>134.01</v>
      </c>
      <c r="BQ1480" t="s">
        <v>1345</v>
      </c>
      <c r="BR1480" t="s">
        <v>97</v>
      </c>
      <c r="BS1480" s="3">
        <v>45945</v>
      </c>
      <c r="BT1480" s="4">
        <v>0.59097222222222223</v>
      </c>
      <c r="BU1480" t="s">
        <v>1346</v>
      </c>
      <c r="BV1480" t="s">
        <v>86</v>
      </c>
      <c r="BY1480">
        <v>1200</v>
      </c>
      <c r="BZ1480" t="s">
        <v>30</v>
      </c>
      <c r="CA1480" t="s">
        <v>1347</v>
      </c>
      <c r="CC1480" t="s">
        <v>1009</v>
      </c>
      <c r="CD1480">
        <v>1760</v>
      </c>
      <c r="CE1480" t="s">
        <v>147</v>
      </c>
      <c r="CF1480" s="3">
        <v>45945</v>
      </c>
      <c r="CI1480">
        <v>1</v>
      </c>
      <c r="CJ1480">
        <v>1</v>
      </c>
      <c r="CK1480">
        <v>24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"080068510956"</f>
        <v>080068510956</v>
      </c>
      <c r="F1481" s="3">
        <v>45944</v>
      </c>
      <c r="G1481">
        <v>202607</v>
      </c>
      <c r="H1481" t="s">
        <v>79</v>
      </c>
      <c r="I1481" t="s">
        <v>80</v>
      </c>
      <c r="J1481" t="s">
        <v>91</v>
      </c>
      <c r="K1481" t="s">
        <v>78</v>
      </c>
      <c r="L1481" t="s">
        <v>148</v>
      </c>
      <c r="M1481" t="s">
        <v>149</v>
      </c>
      <c r="N1481" t="s">
        <v>2242</v>
      </c>
      <c r="O1481" t="s">
        <v>82</v>
      </c>
      <c r="P1481" t="str">
        <f>"4170064172                    "</f>
        <v xml:space="preserve">4170064172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17.46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55.42</v>
      </c>
      <c r="BM1481">
        <v>8.31</v>
      </c>
      <c r="BN1481">
        <v>63.73</v>
      </c>
      <c r="BO1481">
        <v>63.73</v>
      </c>
      <c r="BQ1481" t="s">
        <v>2243</v>
      </c>
      <c r="BR1481" t="s">
        <v>97</v>
      </c>
      <c r="BS1481" s="3">
        <v>45945</v>
      </c>
      <c r="BT1481" s="4">
        <v>0.40763888888888888</v>
      </c>
      <c r="BU1481" t="s">
        <v>2244</v>
      </c>
      <c r="BV1481" t="s">
        <v>86</v>
      </c>
      <c r="BY1481">
        <v>1200</v>
      </c>
      <c r="CA1481" t="s">
        <v>146</v>
      </c>
      <c r="CC1481" t="s">
        <v>149</v>
      </c>
      <c r="CD1481">
        <v>2049</v>
      </c>
      <c r="CE1481" t="s">
        <v>147</v>
      </c>
      <c r="CF1481" s="3">
        <v>45945</v>
      </c>
      <c r="CI1481">
        <v>1</v>
      </c>
      <c r="CJ1481">
        <v>1</v>
      </c>
      <c r="CK1481">
        <v>22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"080068511000"</f>
        <v>080068511000</v>
      </c>
      <c r="F1482" s="3">
        <v>45944</v>
      </c>
      <c r="G1482">
        <v>202607</v>
      </c>
      <c r="H1482" t="s">
        <v>79</v>
      </c>
      <c r="I1482" t="s">
        <v>80</v>
      </c>
      <c r="J1482" t="s">
        <v>91</v>
      </c>
      <c r="K1482" t="s">
        <v>78</v>
      </c>
      <c r="L1482" t="s">
        <v>121</v>
      </c>
      <c r="M1482" t="s">
        <v>122</v>
      </c>
      <c r="N1482" t="s">
        <v>2245</v>
      </c>
      <c r="O1482" t="s">
        <v>82</v>
      </c>
      <c r="P1482" t="str">
        <f>"4170064183                    "</f>
        <v xml:space="preserve">4170064183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22.36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70.959999999999994</v>
      </c>
      <c r="BM1482">
        <v>10.64</v>
      </c>
      <c r="BN1482">
        <v>81.599999999999994</v>
      </c>
      <c r="BO1482">
        <v>81.599999999999994</v>
      </c>
      <c r="BQ1482" t="s">
        <v>2246</v>
      </c>
      <c r="BR1482" t="s">
        <v>97</v>
      </c>
      <c r="BS1482" s="3">
        <v>45945</v>
      </c>
      <c r="BT1482" s="4">
        <v>0.58472222222222225</v>
      </c>
      <c r="BU1482" t="s">
        <v>2247</v>
      </c>
      <c r="BV1482" t="s">
        <v>90</v>
      </c>
      <c r="BW1482" t="s">
        <v>136</v>
      </c>
      <c r="BX1482" t="s">
        <v>2248</v>
      </c>
      <c r="BY1482">
        <v>1200</v>
      </c>
      <c r="CA1482" t="s">
        <v>331</v>
      </c>
      <c r="CC1482" t="s">
        <v>122</v>
      </c>
      <c r="CD1482">
        <v>4052</v>
      </c>
      <c r="CE1482" t="s">
        <v>147</v>
      </c>
      <c r="CF1482" s="3">
        <v>45945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"080068511014"</f>
        <v>080068511014</v>
      </c>
      <c r="F1483" s="3">
        <v>45944</v>
      </c>
      <c r="G1483">
        <v>202607</v>
      </c>
      <c r="H1483" t="s">
        <v>79</v>
      </c>
      <c r="I1483" t="s">
        <v>80</v>
      </c>
      <c r="J1483" t="s">
        <v>91</v>
      </c>
      <c r="K1483" t="s">
        <v>78</v>
      </c>
      <c r="L1483" t="s">
        <v>180</v>
      </c>
      <c r="M1483" t="s">
        <v>181</v>
      </c>
      <c r="N1483" t="s">
        <v>182</v>
      </c>
      <c r="O1483" t="s">
        <v>82</v>
      </c>
      <c r="P1483" t="str">
        <f>"4170064171                    "</f>
        <v xml:space="preserve">4170064171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43.31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137.47</v>
      </c>
      <c r="BM1483">
        <v>20.62</v>
      </c>
      <c r="BN1483">
        <v>158.09</v>
      </c>
      <c r="BO1483">
        <v>158.09</v>
      </c>
      <c r="BQ1483" t="s">
        <v>183</v>
      </c>
      <c r="BR1483" t="s">
        <v>97</v>
      </c>
      <c r="BS1483" s="3">
        <v>45945</v>
      </c>
      <c r="BT1483" s="4">
        <v>0.52986111111111112</v>
      </c>
      <c r="BU1483" t="s">
        <v>2249</v>
      </c>
      <c r="BV1483" t="s">
        <v>86</v>
      </c>
      <c r="BY1483">
        <v>1200</v>
      </c>
      <c r="CA1483">
        <v>8410105735081</v>
      </c>
      <c r="CC1483" t="s">
        <v>181</v>
      </c>
      <c r="CD1483">
        <v>1028</v>
      </c>
      <c r="CE1483" t="s">
        <v>147</v>
      </c>
      <c r="CF1483" s="3">
        <v>45945</v>
      </c>
      <c r="CI1483">
        <v>1</v>
      </c>
      <c r="CJ1483">
        <v>1</v>
      </c>
      <c r="CK1483">
        <v>23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"080068511035"</f>
        <v>080068511035</v>
      </c>
      <c r="F1484" s="3">
        <v>45944</v>
      </c>
      <c r="G1484">
        <v>202607</v>
      </c>
      <c r="H1484" t="s">
        <v>79</v>
      </c>
      <c r="I1484" t="s">
        <v>80</v>
      </c>
      <c r="J1484" t="s">
        <v>91</v>
      </c>
      <c r="K1484" t="s">
        <v>78</v>
      </c>
      <c r="L1484" t="s">
        <v>102</v>
      </c>
      <c r="M1484" t="s">
        <v>103</v>
      </c>
      <c r="N1484" t="s">
        <v>2250</v>
      </c>
      <c r="O1484" t="s">
        <v>82</v>
      </c>
      <c r="P1484" t="str">
        <f>"4170064203                    "</f>
        <v xml:space="preserve">4170064203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17.46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55.42</v>
      </c>
      <c r="BM1484">
        <v>8.31</v>
      </c>
      <c r="BN1484">
        <v>63.73</v>
      </c>
      <c r="BO1484">
        <v>63.73</v>
      </c>
      <c r="BQ1484" t="s">
        <v>2251</v>
      </c>
      <c r="BR1484" t="s">
        <v>97</v>
      </c>
      <c r="BS1484" s="3">
        <v>45945</v>
      </c>
      <c r="BT1484" s="4">
        <v>0.3659722222222222</v>
      </c>
      <c r="BU1484" t="s">
        <v>2252</v>
      </c>
      <c r="BV1484" t="s">
        <v>86</v>
      </c>
      <c r="BY1484">
        <v>1200</v>
      </c>
      <c r="CA1484" t="s">
        <v>2253</v>
      </c>
      <c r="CC1484" t="s">
        <v>103</v>
      </c>
      <c r="CD1484">
        <v>1451</v>
      </c>
      <c r="CE1484" t="s">
        <v>147</v>
      </c>
      <c r="CF1484" s="3">
        <v>45945</v>
      </c>
      <c r="CI1484">
        <v>1</v>
      </c>
      <c r="CJ1484">
        <v>1</v>
      </c>
      <c r="CK1484">
        <v>22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"080068511097"</f>
        <v>080068511097</v>
      </c>
      <c r="F1485" s="3">
        <v>45944</v>
      </c>
      <c r="G1485">
        <v>202607</v>
      </c>
      <c r="H1485" t="s">
        <v>79</v>
      </c>
      <c r="I1485" t="s">
        <v>80</v>
      </c>
      <c r="J1485" t="s">
        <v>91</v>
      </c>
      <c r="K1485" t="s">
        <v>78</v>
      </c>
      <c r="L1485" t="s">
        <v>246</v>
      </c>
      <c r="M1485" t="s">
        <v>247</v>
      </c>
      <c r="N1485" t="s">
        <v>2254</v>
      </c>
      <c r="O1485" t="s">
        <v>82</v>
      </c>
      <c r="P1485" t="str">
        <f>"4170064148                    "</f>
        <v xml:space="preserve">4170064148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43.31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16.739999999999998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154.21</v>
      </c>
      <c r="BM1485">
        <v>23.13</v>
      </c>
      <c r="BN1485">
        <v>177.34</v>
      </c>
      <c r="BO1485">
        <v>177.34</v>
      </c>
      <c r="BQ1485" t="s">
        <v>2255</v>
      </c>
      <c r="BR1485" t="s">
        <v>97</v>
      </c>
      <c r="BS1485" s="3">
        <v>45945</v>
      </c>
      <c r="BT1485" s="4">
        <v>0.57499999999999996</v>
      </c>
      <c r="BU1485" t="s">
        <v>2256</v>
      </c>
      <c r="BV1485" t="s">
        <v>86</v>
      </c>
      <c r="BY1485">
        <v>1200</v>
      </c>
      <c r="BZ1485" t="s">
        <v>30</v>
      </c>
      <c r="CA1485">
        <v>8904225606081</v>
      </c>
      <c r="CC1485" t="s">
        <v>247</v>
      </c>
      <c r="CD1485" s="5" t="s">
        <v>2257</v>
      </c>
      <c r="CE1485" t="s">
        <v>147</v>
      </c>
      <c r="CF1485" s="3">
        <v>45945</v>
      </c>
      <c r="CI1485">
        <v>1</v>
      </c>
      <c r="CJ1485">
        <v>1</v>
      </c>
      <c r="CK1485">
        <v>23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"080068511099"</f>
        <v>080068511099</v>
      </c>
      <c r="F1486" s="3">
        <v>45944</v>
      </c>
      <c r="G1486">
        <v>202607</v>
      </c>
      <c r="H1486" t="s">
        <v>79</v>
      </c>
      <c r="I1486" t="s">
        <v>80</v>
      </c>
      <c r="J1486" t="s">
        <v>91</v>
      </c>
      <c r="K1486" t="s">
        <v>78</v>
      </c>
      <c r="L1486" t="s">
        <v>271</v>
      </c>
      <c r="M1486" t="s">
        <v>272</v>
      </c>
      <c r="N1486" t="s">
        <v>1489</v>
      </c>
      <c r="O1486" t="s">
        <v>82</v>
      </c>
      <c r="P1486" t="str">
        <f>"4170064215                    "</f>
        <v xml:space="preserve">4170064215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17.46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0.9</v>
      </c>
      <c r="BK1486">
        <v>1</v>
      </c>
      <c r="BL1486">
        <v>55.42</v>
      </c>
      <c r="BM1486">
        <v>8.31</v>
      </c>
      <c r="BN1486">
        <v>63.73</v>
      </c>
      <c r="BO1486">
        <v>63.73</v>
      </c>
      <c r="BQ1486" t="s">
        <v>1490</v>
      </c>
      <c r="BR1486" t="s">
        <v>97</v>
      </c>
      <c r="BS1486" s="3">
        <v>45945</v>
      </c>
      <c r="BT1486" s="4">
        <v>0.4</v>
      </c>
      <c r="BU1486" t="s">
        <v>2258</v>
      </c>
      <c r="BV1486" t="s">
        <v>86</v>
      </c>
      <c r="BY1486">
        <v>4275</v>
      </c>
      <c r="CA1486" t="s">
        <v>1659</v>
      </c>
      <c r="CC1486" t="s">
        <v>272</v>
      </c>
      <c r="CD1486">
        <v>1406</v>
      </c>
      <c r="CE1486" t="s">
        <v>191</v>
      </c>
      <c r="CF1486" s="3">
        <v>45946</v>
      </c>
      <c r="CI1486">
        <v>1</v>
      </c>
      <c r="CJ1486">
        <v>1</v>
      </c>
      <c r="CK1486">
        <v>22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"080068511124"</f>
        <v>080068511124</v>
      </c>
      <c r="F1487" s="3">
        <v>45944</v>
      </c>
      <c r="G1487">
        <v>202607</v>
      </c>
      <c r="H1487" t="s">
        <v>79</v>
      </c>
      <c r="I1487" t="s">
        <v>80</v>
      </c>
      <c r="J1487" t="s">
        <v>91</v>
      </c>
      <c r="K1487" t="s">
        <v>78</v>
      </c>
      <c r="L1487" t="s">
        <v>223</v>
      </c>
      <c r="M1487" t="s">
        <v>224</v>
      </c>
      <c r="N1487" t="s">
        <v>1019</v>
      </c>
      <c r="O1487" t="s">
        <v>82</v>
      </c>
      <c r="P1487" t="str">
        <f>"4170064199                    "</f>
        <v xml:space="preserve">4170064199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17.46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55.42</v>
      </c>
      <c r="BM1487">
        <v>8.31</v>
      </c>
      <c r="BN1487">
        <v>63.73</v>
      </c>
      <c r="BO1487">
        <v>63.73</v>
      </c>
      <c r="BQ1487" t="s">
        <v>1020</v>
      </c>
      <c r="BR1487" t="s">
        <v>97</v>
      </c>
      <c r="BS1487" s="3">
        <v>45945</v>
      </c>
      <c r="BT1487" s="4">
        <v>0.3840277777777778</v>
      </c>
      <c r="BU1487" t="s">
        <v>2259</v>
      </c>
      <c r="BV1487" t="s">
        <v>86</v>
      </c>
      <c r="BY1487">
        <v>1200</v>
      </c>
      <c r="CA1487" t="s">
        <v>1459</v>
      </c>
      <c r="CC1487" t="s">
        <v>224</v>
      </c>
      <c r="CD1487">
        <v>1460</v>
      </c>
      <c r="CE1487" t="s">
        <v>147</v>
      </c>
      <c r="CF1487" s="3">
        <v>45945</v>
      </c>
      <c r="CI1487">
        <v>1</v>
      </c>
      <c r="CJ1487">
        <v>1</v>
      </c>
      <c r="CK1487">
        <v>22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"080068511136"</f>
        <v>080068511136</v>
      </c>
      <c r="F1488" s="3">
        <v>45944</v>
      </c>
      <c r="G1488">
        <v>202607</v>
      </c>
      <c r="H1488" t="s">
        <v>79</v>
      </c>
      <c r="I1488" t="s">
        <v>80</v>
      </c>
      <c r="J1488" t="s">
        <v>91</v>
      </c>
      <c r="K1488" t="s">
        <v>78</v>
      </c>
      <c r="L1488" t="s">
        <v>271</v>
      </c>
      <c r="M1488" t="s">
        <v>272</v>
      </c>
      <c r="N1488" t="s">
        <v>1489</v>
      </c>
      <c r="O1488" t="s">
        <v>82</v>
      </c>
      <c r="P1488" t="str">
        <f>"4170064216                    "</f>
        <v xml:space="preserve">4170064216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17.46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1.2</v>
      </c>
      <c r="BK1488">
        <v>2</v>
      </c>
      <c r="BL1488">
        <v>55.42</v>
      </c>
      <c r="BM1488">
        <v>8.31</v>
      </c>
      <c r="BN1488">
        <v>63.73</v>
      </c>
      <c r="BO1488">
        <v>63.73</v>
      </c>
      <c r="BQ1488" t="s">
        <v>1490</v>
      </c>
      <c r="BR1488" t="s">
        <v>97</v>
      </c>
      <c r="BS1488" s="3">
        <v>45945</v>
      </c>
      <c r="BT1488" s="4">
        <v>0.39930555555555558</v>
      </c>
      <c r="BU1488" t="s">
        <v>2258</v>
      </c>
      <c r="BV1488" t="s">
        <v>86</v>
      </c>
      <c r="BY1488">
        <v>6048</v>
      </c>
      <c r="CA1488" t="s">
        <v>1659</v>
      </c>
      <c r="CC1488" t="s">
        <v>272</v>
      </c>
      <c r="CD1488">
        <v>1406</v>
      </c>
      <c r="CE1488" t="s">
        <v>107</v>
      </c>
      <c r="CF1488" s="3">
        <v>45946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"080068511226"</f>
        <v>080068511226</v>
      </c>
      <c r="F1489" s="3">
        <v>45944</v>
      </c>
      <c r="G1489">
        <v>202607</v>
      </c>
      <c r="H1489" t="s">
        <v>79</v>
      </c>
      <c r="I1489" t="s">
        <v>80</v>
      </c>
      <c r="J1489" t="s">
        <v>91</v>
      </c>
      <c r="K1489" t="s">
        <v>78</v>
      </c>
      <c r="L1489" t="s">
        <v>1095</v>
      </c>
      <c r="M1489" t="s">
        <v>1096</v>
      </c>
      <c r="N1489" t="s">
        <v>1538</v>
      </c>
      <c r="O1489" t="s">
        <v>82</v>
      </c>
      <c r="P1489" t="str">
        <f>"4170064211                    "</f>
        <v xml:space="preserve">4170064211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43.31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137.47</v>
      </c>
      <c r="BM1489">
        <v>20.62</v>
      </c>
      <c r="BN1489">
        <v>158.09</v>
      </c>
      <c r="BO1489">
        <v>158.09</v>
      </c>
      <c r="BQ1489" t="s">
        <v>1539</v>
      </c>
      <c r="BR1489" t="s">
        <v>97</v>
      </c>
      <c r="BS1489" s="3">
        <v>45945</v>
      </c>
      <c r="BT1489" s="4">
        <v>0.40763888888888888</v>
      </c>
      <c r="BU1489" t="s">
        <v>1923</v>
      </c>
      <c r="BV1489" t="s">
        <v>86</v>
      </c>
      <c r="BY1489">
        <v>1200</v>
      </c>
      <c r="CA1489" t="s">
        <v>1099</v>
      </c>
      <c r="CC1489" t="s">
        <v>1096</v>
      </c>
      <c r="CD1489">
        <v>2302</v>
      </c>
      <c r="CE1489" t="s">
        <v>147</v>
      </c>
      <c r="CF1489" s="3">
        <v>45945</v>
      </c>
      <c r="CI1489">
        <v>1</v>
      </c>
      <c r="CJ1489">
        <v>1</v>
      </c>
      <c r="CK1489">
        <v>23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"080068511258"</f>
        <v>080068511258</v>
      </c>
      <c r="F1490" s="3">
        <v>45944</v>
      </c>
      <c r="G1490">
        <v>202607</v>
      </c>
      <c r="H1490" t="s">
        <v>79</v>
      </c>
      <c r="I1490" t="s">
        <v>80</v>
      </c>
      <c r="J1490" t="s">
        <v>91</v>
      </c>
      <c r="K1490" t="s">
        <v>78</v>
      </c>
      <c r="L1490" t="s">
        <v>2260</v>
      </c>
      <c r="M1490" t="s">
        <v>2261</v>
      </c>
      <c r="N1490" t="s">
        <v>2262</v>
      </c>
      <c r="O1490" t="s">
        <v>82</v>
      </c>
      <c r="P1490" t="str">
        <f>"4170064161                    "</f>
        <v xml:space="preserve">4170064161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43.31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137.47</v>
      </c>
      <c r="BM1490">
        <v>20.62</v>
      </c>
      <c r="BN1490">
        <v>158.09</v>
      </c>
      <c r="BO1490">
        <v>158.09</v>
      </c>
      <c r="BQ1490" t="s">
        <v>2263</v>
      </c>
      <c r="BR1490" t="s">
        <v>97</v>
      </c>
      <c r="BS1490" s="3">
        <v>45945</v>
      </c>
      <c r="BT1490" s="4">
        <v>0.65972222222222221</v>
      </c>
      <c r="BU1490" t="s">
        <v>2264</v>
      </c>
      <c r="BV1490" t="s">
        <v>90</v>
      </c>
      <c r="BW1490" t="s">
        <v>864</v>
      </c>
      <c r="BX1490" t="s">
        <v>2265</v>
      </c>
      <c r="BY1490">
        <v>1200</v>
      </c>
      <c r="CA1490" t="s">
        <v>2266</v>
      </c>
      <c r="CC1490" t="s">
        <v>2261</v>
      </c>
      <c r="CD1490" s="5" t="s">
        <v>2267</v>
      </c>
      <c r="CE1490" t="s">
        <v>147</v>
      </c>
      <c r="CF1490" s="3">
        <v>45946</v>
      </c>
      <c r="CI1490">
        <v>1</v>
      </c>
      <c r="CJ1490">
        <v>1</v>
      </c>
      <c r="CK1490">
        <v>23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"080068511698"</f>
        <v>080068511698</v>
      </c>
      <c r="F1491" s="3">
        <v>45944</v>
      </c>
      <c r="G1491">
        <v>202607</v>
      </c>
      <c r="H1491" t="s">
        <v>79</v>
      </c>
      <c r="I1491" t="s">
        <v>80</v>
      </c>
      <c r="J1491" t="s">
        <v>91</v>
      </c>
      <c r="K1491" t="s">
        <v>78</v>
      </c>
      <c r="L1491" t="s">
        <v>168</v>
      </c>
      <c r="M1491" t="s">
        <v>169</v>
      </c>
      <c r="N1491" t="s">
        <v>339</v>
      </c>
      <c r="O1491" t="s">
        <v>82</v>
      </c>
      <c r="P1491" t="str">
        <f>"4170064140                    "</f>
        <v xml:space="preserve">4170064140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22.36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70.959999999999994</v>
      </c>
      <c r="BM1491">
        <v>10.64</v>
      </c>
      <c r="BN1491">
        <v>81.599999999999994</v>
      </c>
      <c r="BO1491">
        <v>81.599999999999994</v>
      </c>
      <c r="BQ1491" t="s">
        <v>340</v>
      </c>
      <c r="BR1491" t="s">
        <v>97</v>
      </c>
      <c r="BS1491" s="3">
        <v>45945</v>
      </c>
      <c r="BT1491" s="4">
        <v>0.36805555555555558</v>
      </c>
      <c r="BU1491" t="s">
        <v>2268</v>
      </c>
      <c r="BV1491" t="s">
        <v>86</v>
      </c>
      <c r="BY1491">
        <v>1200</v>
      </c>
      <c r="CA1491">
        <v>8303236124087</v>
      </c>
      <c r="CC1491" t="s">
        <v>169</v>
      </c>
      <c r="CD1491" s="5" t="s">
        <v>190</v>
      </c>
      <c r="CE1491" t="s">
        <v>147</v>
      </c>
      <c r="CF1491" s="3">
        <v>45945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"080068511741"</f>
        <v>080068511741</v>
      </c>
      <c r="F1492" s="3">
        <v>45944</v>
      </c>
      <c r="G1492">
        <v>202607</v>
      </c>
      <c r="H1492" t="s">
        <v>79</v>
      </c>
      <c r="I1492" t="s">
        <v>80</v>
      </c>
      <c r="J1492" t="s">
        <v>91</v>
      </c>
      <c r="K1492" t="s">
        <v>78</v>
      </c>
      <c r="L1492" t="s">
        <v>265</v>
      </c>
      <c r="M1492" t="s">
        <v>266</v>
      </c>
      <c r="N1492" t="s">
        <v>721</v>
      </c>
      <c r="O1492" t="s">
        <v>82</v>
      </c>
      <c r="P1492" t="str">
        <f>"4170064138                    "</f>
        <v xml:space="preserve">4170064138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22.36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70.959999999999994</v>
      </c>
      <c r="BM1492">
        <v>10.64</v>
      </c>
      <c r="BN1492">
        <v>81.599999999999994</v>
      </c>
      <c r="BO1492">
        <v>81.599999999999994</v>
      </c>
      <c r="BQ1492" t="s">
        <v>722</v>
      </c>
      <c r="BR1492" t="s">
        <v>97</v>
      </c>
      <c r="BS1492" s="3">
        <v>45945</v>
      </c>
      <c r="BT1492" s="4">
        <v>0.33680555555555558</v>
      </c>
      <c r="BU1492" t="s">
        <v>2269</v>
      </c>
      <c r="BV1492" t="s">
        <v>86</v>
      </c>
      <c r="BY1492">
        <v>1200</v>
      </c>
      <c r="CA1492" t="s">
        <v>818</v>
      </c>
      <c r="CC1492" t="s">
        <v>266</v>
      </c>
      <c r="CD1492">
        <v>6021</v>
      </c>
      <c r="CE1492" t="s">
        <v>147</v>
      </c>
      <c r="CF1492" s="3">
        <v>45945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"080068511842"</f>
        <v>080068511842</v>
      </c>
      <c r="F1493" s="3">
        <v>45944</v>
      </c>
      <c r="G1493">
        <v>202607</v>
      </c>
      <c r="H1493" t="s">
        <v>79</v>
      </c>
      <c r="I1493" t="s">
        <v>80</v>
      </c>
      <c r="J1493" t="s">
        <v>91</v>
      </c>
      <c r="K1493" t="s">
        <v>78</v>
      </c>
      <c r="L1493" t="s">
        <v>668</v>
      </c>
      <c r="M1493" t="s">
        <v>669</v>
      </c>
      <c r="N1493" t="s">
        <v>1744</v>
      </c>
      <c r="O1493" t="s">
        <v>226</v>
      </c>
      <c r="P1493" t="str">
        <f>"4170063978                    "</f>
        <v xml:space="preserve">4170063978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17.47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5</v>
      </c>
      <c r="BJ1493">
        <v>3.7</v>
      </c>
      <c r="BK1493">
        <v>5</v>
      </c>
      <c r="BL1493">
        <v>55.44</v>
      </c>
      <c r="BM1493">
        <v>8.32</v>
      </c>
      <c r="BN1493">
        <v>63.76</v>
      </c>
      <c r="BO1493">
        <v>63.76</v>
      </c>
      <c r="BQ1493" t="s">
        <v>1745</v>
      </c>
      <c r="BR1493" t="s">
        <v>97</v>
      </c>
      <c r="BS1493" s="3">
        <v>45945</v>
      </c>
      <c r="BT1493" s="4">
        <v>0.33124999999999999</v>
      </c>
      <c r="BU1493" t="s">
        <v>2270</v>
      </c>
      <c r="BV1493" t="s">
        <v>86</v>
      </c>
      <c r="BY1493">
        <v>18522</v>
      </c>
      <c r="CA1493" t="s">
        <v>1979</v>
      </c>
      <c r="CC1493" t="s">
        <v>669</v>
      </c>
      <c r="CD1493">
        <v>1501</v>
      </c>
      <c r="CE1493" t="s">
        <v>107</v>
      </c>
      <c r="CF1493" s="3">
        <v>45946</v>
      </c>
      <c r="CI1493">
        <v>1</v>
      </c>
      <c r="CJ1493">
        <v>1</v>
      </c>
      <c r="CK1493">
        <v>32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"080068511897"</f>
        <v>080068511897</v>
      </c>
      <c r="F1494" s="3">
        <v>45944</v>
      </c>
      <c r="G1494">
        <v>202607</v>
      </c>
      <c r="H1494" t="s">
        <v>79</v>
      </c>
      <c r="I1494" t="s">
        <v>80</v>
      </c>
      <c r="J1494" t="s">
        <v>91</v>
      </c>
      <c r="K1494" t="s">
        <v>78</v>
      </c>
      <c r="L1494" t="s">
        <v>121</v>
      </c>
      <c r="M1494" t="s">
        <v>122</v>
      </c>
      <c r="N1494" t="s">
        <v>159</v>
      </c>
      <c r="O1494" t="s">
        <v>82</v>
      </c>
      <c r="P1494" t="str">
        <f>"4170064232                    "</f>
        <v xml:space="preserve">4170064232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22.36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70.959999999999994</v>
      </c>
      <c r="BM1494">
        <v>10.64</v>
      </c>
      <c r="BN1494">
        <v>81.599999999999994</v>
      </c>
      <c r="BO1494">
        <v>81.599999999999994</v>
      </c>
      <c r="BQ1494" t="s">
        <v>160</v>
      </c>
      <c r="BR1494" t="s">
        <v>97</v>
      </c>
      <c r="BS1494" s="3">
        <v>45945</v>
      </c>
      <c r="BT1494" s="4">
        <v>0.50416666666666665</v>
      </c>
      <c r="BU1494" t="s">
        <v>161</v>
      </c>
      <c r="BV1494" t="s">
        <v>90</v>
      </c>
      <c r="BW1494" t="s">
        <v>136</v>
      </c>
      <c r="BX1494" t="s">
        <v>858</v>
      </c>
      <c r="BY1494">
        <v>1200</v>
      </c>
      <c r="CA1494" t="s">
        <v>742</v>
      </c>
      <c r="CC1494" t="s">
        <v>122</v>
      </c>
      <c r="CD1494">
        <v>4000</v>
      </c>
      <c r="CE1494" t="s">
        <v>147</v>
      </c>
      <c r="CF1494" s="3">
        <v>45946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"080068511911"</f>
        <v>080068511911</v>
      </c>
      <c r="F1495" s="3">
        <v>45944</v>
      </c>
      <c r="G1495">
        <v>202607</v>
      </c>
      <c r="H1495" t="s">
        <v>79</v>
      </c>
      <c r="I1495" t="s">
        <v>80</v>
      </c>
      <c r="J1495" t="s">
        <v>91</v>
      </c>
      <c r="K1495" t="s">
        <v>78</v>
      </c>
      <c r="L1495" t="s">
        <v>206</v>
      </c>
      <c r="M1495" t="s">
        <v>207</v>
      </c>
      <c r="N1495" t="s">
        <v>698</v>
      </c>
      <c r="O1495" t="s">
        <v>82</v>
      </c>
      <c r="P1495" t="str">
        <f>"4170064200                    "</f>
        <v xml:space="preserve">4170064200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22.36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70.959999999999994</v>
      </c>
      <c r="BM1495">
        <v>10.64</v>
      </c>
      <c r="BN1495">
        <v>81.599999999999994</v>
      </c>
      <c r="BO1495">
        <v>81.599999999999994</v>
      </c>
      <c r="BQ1495" t="s">
        <v>699</v>
      </c>
      <c r="BR1495" t="s">
        <v>97</v>
      </c>
      <c r="BS1495" s="3">
        <v>45945</v>
      </c>
      <c r="BT1495" s="4">
        <v>0.42499999999999999</v>
      </c>
      <c r="BU1495" t="s">
        <v>700</v>
      </c>
      <c r="BV1495" t="s">
        <v>86</v>
      </c>
      <c r="BY1495">
        <v>1200</v>
      </c>
      <c r="CA1495" t="s">
        <v>375</v>
      </c>
      <c r="CC1495" t="s">
        <v>207</v>
      </c>
      <c r="CD1495">
        <v>7800</v>
      </c>
      <c r="CE1495" t="s">
        <v>147</v>
      </c>
      <c r="CF1495" s="3">
        <v>45946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"080068511926"</f>
        <v>080068511926</v>
      </c>
      <c r="F1496" s="3">
        <v>45944</v>
      </c>
      <c r="G1496">
        <v>202607</v>
      </c>
      <c r="H1496" t="s">
        <v>79</v>
      </c>
      <c r="I1496" t="s">
        <v>80</v>
      </c>
      <c r="J1496" t="s">
        <v>91</v>
      </c>
      <c r="K1496" t="s">
        <v>78</v>
      </c>
      <c r="L1496" t="s">
        <v>223</v>
      </c>
      <c r="M1496" t="s">
        <v>224</v>
      </c>
      <c r="N1496" t="s">
        <v>1592</v>
      </c>
      <c r="O1496" t="s">
        <v>82</v>
      </c>
      <c r="P1496" t="str">
        <f>"4170064227                    "</f>
        <v xml:space="preserve">4170064227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17.46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55.42</v>
      </c>
      <c r="BM1496">
        <v>8.31</v>
      </c>
      <c r="BN1496">
        <v>63.73</v>
      </c>
      <c r="BO1496">
        <v>63.73</v>
      </c>
      <c r="BQ1496" t="s">
        <v>1593</v>
      </c>
      <c r="BR1496" t="s">
        <v>97</v>
      </c>
      <c r="BS1496" s="3">
        <v>45945</v>
      </c>
      <c r="BT1496" s="4">
        <v>0.41666666666666669</v>
      </c>
      <c r="BU1496" t="s">
        <v>2271</v>
      </c>
      <c r="BV1496" t="s">
        <v>86</v>
      </c>
      <c r="BY1496">
        <v>1200</v>
      </c>
      <c r="CA1496" t="s">
        <v>1595</v>
      </c>
      <c r="CC1496" t="s">
        <v>224</v>
      </c>
      <c r="CD1496">
        <v>1459</v>
      </c>
      <c r="CE1496" t="s">
        <v>147</v>
      </c>
      <c r="CF1496" s="3">
        <v>45945</v>
      </c>
      <c r="CI1496">
        <v>1</v>
      </c>
      <c r="CJ1496">
        <v>1</v>
      </c>
      <c r="CK1496">
        <v>22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"080068511929"</f>
        <v>080068511929</v>
      </c>
      <c r="F1497" s="3">
        <v>45944</v>
      </c>
      <c r="G1497">
        <v>202607</v>
      </c>
      <c r="H1497" t="s">
        <v>79</v>
      </c>
      <c r="I1497" t="s">
        <v>80</v>
      </c>
      <c r="J1497" t="s">
        <v>91</v>
      </c>
      <c r="K1497" t="s">
        <v>78</v>
      </c>
      <c r="L1497" t="s">
        <v>446</v>
      </c>
      <c r="M1497" t="s">
        <v>447</v>
      </c>
      <c r="N1497" t="s">
        <v>448</v>
      </c>
      <c r="O1497" t="s">
        <v>82</v>
      </c>
      <c r="P1497" t="str">
        <f>"4170064137                    "</f>
        <v xml:space="preserve">4170064137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219.35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11</v>
      </c>
      <c r="BJ1497">
        <v>3.6</v>
      </c>
      <c r="BK1497">
        <v>11</v>
      </c>
      <c r="BL1497">
        <v>696.19</v>
      </c>
      <c r="BM1497">
        <v>104.43</v>
      </c>
      <c r="BN1497">
        <v>800.62</v>
      </c>
      <c r="BO1497">
        <v>800.62</v>
      </c>
      <c r="BQ1497" t="s">
        <v>449</v>
      </c>
      <c r="BR1497" t="s">
        <v>97</v>
      </c>
      <c r="BS1497" s="3">
        <v>45945</v>
      </c>
      <c r="BT1497" s="4">
        <v>0.4597222222222222</v>
      </c>
      <c r="BU1497" t="s">
        <v>450</v>
      </c>
      <c r="BV1497" t="s">
        <v>86</v>
      </c>
      <c r="BY1497">
        <v>18096</v>
      </c>
      <c r="CA1497" t="s">
        <v>1124</v>
      </c>
      <c r="CC1497" t="s">
        <v>447</v>
      </c>
      <c r="CD1497">
        <v>7130</v>
      </c>
      <c r="CE1497" t="s">
        <v>191</v>
      </c>
      <c r="CF1497" s="3">
        <v>45946</v>
      </c>
      <c r="CI1497">
        <v>1</v>
      </c>
      <c r="CJ1497">
        <v>1</v>
      </c>
      <c r="CK1497">
        <v>23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"080068511940"</f>
        <v>080068511940</v>
      </c>
      <c r="F1498" s="3">
        <v>45944</v>
      </c>
      <c r="G1498">
        <v>202607</v>
      </c>
      <c r="H1498" t="s">
        <v>79</v>
      </c>
      <c r="I1498" t="s">
        <v>80</v>
      </c>
      <c r="J1498" t="s">
        <v>91</v>
      </c>
      <c r="K1498" t="s">
        <v>78</v>
      </c>
      <c r="L1498" t="s">
        <v>148</v>
      </c>
      <c r="M1498" t="s">
        <v>149</v>
      </c>
      <c r="N1498" t="s">
        <v>2272</v>
      </c>
      <c r="O1498" t="s">
        <v>82</v>
      </c>
      <c r="P1498" t="str">
        <f>"4170064220                    "</f>
        <v xml:space="preserve">4170064220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17.46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55.42</v>
      </c>
      <c r="BM1498">
        <v>8.31</v>
      </c>
      <c r="BN1498">
        <v>63.73</v>
      </c>
      <c r="BO1498">
        <v>63.73</v>
      </c>
      <c r="BQ1498" t="s">
        <v>2273</v>
      </c>
      <c r="BR1498" t="s">
        <v>97</v>
      </c>
      <c r="BS1498" s="3">
        <v>45945</v>
      </c>
      <c r="BT1498" s="4">
        <v>0.39583333333333331</v>
      </c>
      <c r="BU1498" t="s">
        <v>2274</v>
      </c>
      <c r="BV1498" t="s">
        <v>86</v>
      </c>
      <c r="BY1498">
        <v>1200</v>
      </c>
      <c r="CA1498" t="s">
        <v>1463</v>
      </c>
      <c r="CC1498" t="s">
        <v>149</v>
      </c>
      <c r="CD1498">
        <v>2190</v>
      </c>
      <c r="CE1498" t="s">
        <v>147</v>
      </c>
      <c r="CF1498" s="3">
        <v>45946</v>
      </c>
      <c r="CI1498">
        <v>1</v>
      </c>
      <c r="CJ1498">
        <v>1</v>
      </c>
      <c r="CK1498">
        <v>22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"080068511953"</f>
        <v>080068511953</v>
      </c>
      <c r="F1499" s="3">
        <v>45944</v>
      </c>
      <c r="G1499">
        <v>202607</v>
      </c>
      <c r="H1499" t="s">
        <v>79</v>
      </c>
      <c r="I1499" t="s">
        <v>80</v>
      </c>
      <c r="J1499" t="s">
        <v>91</v>
      </c>
      <c r="K1499" t="s">
        <v>78</v>
      </c>
      <c r="L1499" t="s">
        <v>79</v>
      </c>
      <c r="M1499" t="s">
        <v>80</v>
      </c>
      <c r="N1499" t="s">
        <v>539</v>
      </c>
      <c r="O1499" t="s">
        <v>82</v>
      </c>
      <c r="P1499" t="str">
        <f>"4170064207                    "</f>
        <v xml:space="preserve">4170064207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17.46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1.1000000000000001</v>
      </c>
      <c r="BK1499">
        <v>2</v>
      </c>
      <c r="BL1499">
        <v>55.42</v>
      </c>
      <c r="BM1499">
        <v>8.31</v>
      </c>
      <c r="BN1499">
        <v>63.73</v>
      </c>
      <c r="BO1499">
        <v>63.73</v>
      </c>
      <c r="BQ1499" t="s">
        <v>540</v>
      </c>
      <c r="BR1499" t="s">
        <v>97</v>
      </c>
      <c r="BS1499" s="3">
        <v>45945</v>
      </c>
      <c r="BT1499" s="4">
        <v>0.38124999999999998</v>
      </c>
      <c r="BU1499" t="s">
        <v>541</v>
      </c>
      <c r="BV1499" t="s">
        <v>86</v>
      </c>
      <c r="BY1499">
        <v>5320</v>
      </c>
      <c r="CA1499" t="s">
        <v>1659</v>
      </c>
      <c r="CC1499" t="s">
        <v>80</v>
      </c>
      <c r="CD1499">
        <v>1614</v>
      </c>
      <c r="CE1499" t="s">
        <v>191</v>
      </c>
      <c r="CF1499" s="3">
        <v>45946</v>
      </c>
      <c r="CI1499">
        <v>1</v>
      </c>
      <c r="CJ1499">
        <v>1</v>
      </c>
      <c r="CK1499">
        <v>22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"080068511959"</f>
        <v>080068511959</v>
      </c>
      <c r="F1500" s="3">
        <v>45944</v>
      </c>
      <c r="G1500">
        <v>202607</v>
      </c>
      <c r="H1500" t="s">
        <v>79</v>
      </c>
      <c r="I1500" t="s">
        <v>80</v>
      </c>
      <c r="J1500" t="s">
        <v>91</v>
      </c>
      <c r="K1500" t="s">
        <v>78</v>
      </c>
      <c r="L1500" t="s">
        <v>79</v>
      </c>
      <c r="M1500" t="s">
        <v>80</v>
      </c>
      <c r="N1500" t="s">
        <v>1986</v>
      </c>
      <c r="O1500" t="s">
        <v>82</v>
      </c>
      <c r="P1500" t="str">
        <f>"4170064139                    "</f>
        <v xml:space="preserve">4170064139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17.46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55.42</v>
      </c>
      <c r="BM1500">
        <v>8.31</v>
      </c>
      <c r="BN1500">
        <v>63.73</v>
      </c>
      <c r="BO1500">
        <v>63.73</v>
      </c>
      <c r="BQ1500" t="s">
        <v>1987</v>
      </c>
      <c r="BR1500" t="s">
        <v>97</v>
      </c>
      <c r="BS1500" s="3">
        <v>45945</v>
      </c>
      <c r="BT1500" s="4">
        <v>0.4236111111111111</v>
      </c>
      <c r="BU1500" t="s">
        <v>1988</v>
      </c>
      <c r="BV1500" t="s">
        <v>86</v>
      </c>
      <c r="BY1500">
        <v>1200</v>
      </c>
      <c r="CA1500" t="s">
        <v>166</v>
      </c>
      <c r="CC1500" t="s">
        <v>80</v>
      </c>
      <c r="CD1500">
        <v>1624</v>
      </c>
      <c r="CE1500" t="s">
        <v>147</v>
      </c>
      <c r="CF1500" s="3">
        <v>45946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"080068512598"</f>
        <v>080068512598</v>
      </c>
      <c r="F1501" s="3">
        <v>45944</v>
      </c>
      <c r="G1501">
        <v>202607</v>
      </c>
      <c r="H1501" t="s">
        <v>79</v>
      </c>
      <c r="I1501" t="s">
        <v>80</v>
      </c>
      <c r="J1501" t="s">
        <v>91</v>
      </c>
      <c r="K1501" t="s">
        <v>78</v>
      </c>
      <c r="L1501" t="s">
        <v>148</v>
      </c>
      <c r="M1501" t="s">
        <v>149</v>
      </c>
      <c r="N1501" t="s">
        <v>2275</v>
      </c>
      <c r="O1501" t="s">
        <v>82</v>
      </c>
      <c r="P1501" t="str">
        <f>"4170064226                    "</f>
        <v xml:space="preserve">4170064226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17.46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55.42</v>
      </c>
      <c r="BM1501">
        <v>8.31</v>
      </c>
      <c r="BN1501">
        <v>63.73</v>
      </c>
      <c r="BO1501">
        <v>63.73</v>
      </c>
      <c r="BQ1501" t="s">
        <v>2276</v>
      </c>
      <c r="BR1501" t="s">
        <v>97</v>
      </c>
      <c r="BS1501" s="3">
        <v>45945</v>
      </c>
      <c r="BT1501" s="4">
        <v>0.40625</v>
      </c>
      <c r="BU1501" t="s">
        <v>2277</v>
      </c>
      <c r="BV1501" t="s">
        <v>86</v>
      </c>
      <c r="BY1501">
        <v>1200</v>
      </c>
      <c r="CA1501" t="s">
        <v>1463</v>
      </c>
      <c r="CC1501" t="s">
        <v>149</v>
      </c>
      <c r="CD1501">
        <v>2190</v>
      </c>
      <c r="CE1501" t="s">
        <v>147</v>
      </c>
      <c r="CF1501" s="3">
        <v>45946</v>
      </c>
      <c r="CI1501">
        <v>1</v>
      </c>
      <c r="CJ1501">
        <v>1</v>
      </c>
      <c r="CK1501">
        <v>22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"080068512615"</f>
        <v>080068512615</v>
      </c>
      <c r="F1502" s="3">
        <v>45944</v>
      </c>
      <c r="G1502">
        <v>202607</v>
      </c>
      <c r="H1502" t="s">
        <v>79</v>
      </c>
      <c r="I1502" t="s">
        <v>80</v>
      </c>
      <c r="J1502" t="s">
        <v>91</v>
      </c>
      <c r="K1502" t="s">
        <v>78</v>
      </c>
      <c r="L1502" t="s">
        <v>92</v>
      </c>
      <c r="M1502" t="s">
        <v>93</v>
      </c>
      <c r="N1502" t="s">
        <v>1179</v>
      </c>
      <c r="O1502" t="s">
        <v>82</v>
      </c>
      <c r="P1502" t="str">
        <f>"4170064149                    "</f>
        <v xml:space="preserve">4170064149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22.36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16.739999999999998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87.7</v>
      </c>
      <c r="BM1502">
        <v>13.16</v>
      </c>
      <c r="BN1502">
        <v>100.86</v>
      </c>
      <c r="BO1502">
        <v>100.86</v>
      </c>
      <c r="BQ1502" t="s">
        <v>1180</v>
      </c>
      <c r="BR1502" t="s">
        <v>97</v>
      </c>
      <c r="BS1502" s="3">
        <v>45945</v>
      </c>
      <c r="BT1502" s="4">
        <v>0.43402777777777779</v>
      </c>
      <c r="BU1502" t="s">
        <v>2148</v>
      </c>
      <c r="BV1502" t="s">
        <v>86</v>
      </c>
      <c r="BY1502">
        <v>1200</v>
      </c>
      <c r="BZ1502" t="s">
        <v>30</v>
      </c>
      <c r="CA1502" t="s">
        <v>1699</v>
      </c>
      <c r="CC1502" t="s">
        <v>93</v>
      </c>
      <c r="CD1502">
        <v>3699</v>
      </c>
      <c r="CE1502" t="s">
        <v>147</v>
      </c>
      <c r="CF1502" s="3">
        <v>45946</v>
      </c>
      <c r="CI1502">
        <v>1</v>
      </c>
      <c r="CJ1502">
        <v>1</v>
      </c>
      <c r="CK1502">
        <v>21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"080068512618"</f>
        <v>080068512618</v>
      </c>
      <c r="F1503" s="3">
        <v>45944</v>
      </c>
      <c r="G1503">
        <v>202607</v>
      </c>
      <c r="H1503" t="s">
        <v>79</v>
      </c>
      <c r="I1503" t="s">
        <v>80</v>
      </c>
      <c r="J1503" t="s">
        <v>91</v>
      </c>
      <c r="K1503" t="s">
        <v>78</v>
      </c>
      <c r="L1503" t="s">
        <v>763</v>
      </c>
      <c r="M1503" t="s">
        <v>764</v>
      </c>
      <c r="N1503" t="s">
        <v>765</v>
      </c>
      <c r="O1503" t="s">
        <v>82</v>
      </c>
      <c r="P1503" t="str">
        <f>"4170064204                    "</f>
        <v xml:space="preserve">4170064204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43.31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1.4</v>
      </c>
      <c r="BJ1503">
        <v>1</v>
      </c>
      <c r="BK1503">
        <v>1.5</v>
      </c>
      <c r="BL1503">
        <v>137.47</v>
      </c>
      <c r="BM1503">
        <v>20.62</v>
      </c>
      <c r="BN1503">
        <v>158.09</v>
      </c>
      <c r="BO1503">
        <v>158.09</v>
      </c>
      <c r="BQ1503" t="s">
        <v>766</v>
      </c>
      <c r="BR1503" t="s">
        <v>97</v>
      </c>
      <c r="BS1503" s="3">
        <v>45945</v>
      </c>
      <c r="BT1503" s="4">
        <v>0.37916666666666665</v>
      </c>
      <c r="BU1503" t="s">
        <v>1195</v>
      </c>
      <c r="BV1503" t="s">
        <v>86</v>
      </c>
      <c r="BY1503">
        <v>4801.68</v>
      </c>
      <c r="CA1503" t="s">
        <v>768</v>
      </c>
      <c r="CC1503" t="s">
        <v>764</v>
      </c>
      <c r="CD1503">
        <v>2531</v>
      </c>
      <c r="CE1503" t="s">
        <v>107</v>
      </c>
      <c r="CF1503" s="3">
        <v>45945</v>
      </c>
      <c r="CI1503">
        <v>1</v>
      </c>
      <c r="CJ1503">
        <v>1</v>
      </c>
      <c r="CK1503">
        <v>23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"080068512649"</f>
        <v>080068512649</v>
      </c>
      <c r="F1504" s="3">
        <v>45944</v>
      </c>
      <c r="G1504">
        <v>202607</v>
      </c>
      <c r="H1504" t="s">
        <v>79</v>
      </c>
      <c r="I1504" t="s">
        <v>80</v>
      </c>
      <c r="J1504" t="s">
        <v>91</v>
      </c>
      <c r="K1504" t="s">
        <v>78</v>
      </c>
      <c r="L1504" t="s">
        <v>322</v>
      </c>
      <c r="M1504" t="s">
        <v>322</v>
      </c>
      <c r="N1504" t="s">
        <v>481</v>
      </c>
      <c r="O1504" t="s">
        <v>95</v>
      </c>
      <c r="P1504" t="str">
        <f>"4170064154                    "</f>
        <v xml:space="preserve">4170064154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117.03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9</v>
      </c>
      <c r="BJ1504">
        <v>32.6</v>
      </c>
      <c r="BK1504">
        <v>33</v>
      </c>
      <c r="BL1504">
        <v>377.31</v>
      </c>
      <c r="BM1504">
        <v>56.6</v>
      </c>
      <c r="BN1504">
        <v>433.91</v>
      </c>
      <c r="BO1504">
        <v>433.91</v>
      </c>
      <c r="BQ1504" t="s">
        <v>482</v>
      </c>
      <c r="BR1504" t="s">
        <v>97</v>
      </c>
      <c r="BS1504" s="3">
        <v>45946</v>
      </c>
      <c r="BT1504" s="4">
        <v>0.49791666666666667</v>
      </c>
      <c r="BU1504" t="s">
        <v>378</v>
      </c>
      <c r="BV1504" t="s">
        <v>86</v>
      </c>
      <c r="BY1504">
        <v>162840</v>
      </c>
      <c r="CA1504" t="s">
        <v>326</v>
      </c>
      <c r="CC1504" t="s">
        <v>322</v>
      </c>
      <c r="CD1504">
        <v>7646</v>
      </c>
      <c r="CE1504" t="s">
        <v>191</v>
      </c>
      <c r="CF1504" s="3">
        <v>45947</v>
      </c>
      <c r="CI1504">
        <v>3</v>
      </c>
      <c r="CJ1504">
        <v>2</v>
      </c>
      <c r="CK1504">
        <v>43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"080068512667"</f>
        <v>080068512667</v>
      </c>
      <c r="F1505" s="3">
        <v>45944</v>
      </c>
      <c r="G1505">
        <v>202607</v>
      </c>
      <c r="H1505" t="s">
        <v>79</v>
      </c>
      <c r="I1505" t="s">
        <v>80</v>
      </c>
      <c r="J1505" t="s">
        <v>91</v>
      </c>
      <c r="K1505" t="s">
        <v>78</v>
      </c>
      <c r="L1505" t="s">
        <v>206</v>
      </c>
      <c r="M1505" t="s">
        <v>207</v>
      </c>
      <c r="N1505" t="s">
        <v>935</v>
      </c>
      <c r="O1505" t="s">
        <v>82</v>
      </c>
      <c r="P1505" t="str">
        <f>"4170064158                    "</f>
        <v xml:space="preserve">4170064158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39.11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3</v>
      </c>
      <c r="BJ1505">
        <v>3.4</v>
      </c>
      <c r="BK1505">
        <v>3.5</v>
      </c>
      <c r="BL1505">
        <v>124.13</v>
      </c>
      <c r="BM1505">
        <v>18.62</v>
      </c>
      <c r="BN1505">
        <v>142.75</v>
      </c>
      <c r="BO1505">
        <v>142.75</v>
      </c>
      <c r="BQ1505" t="s">
        <v>936</v>
      </c>
      <c r="BR1505" t="s">
        <v>97</v>
      </c>
      <c r="BS1505" s="3">
        <v>45945</v>
      </c>
      <c r="BT1505" s="4">
        <v>0.3888888888888889</v>
      </c>
      <c r="BU1505" t="s">
        <v>2278</v>
      </c>
      <c r="BV1505" t="s">
        <v>86</v>
      </c>
      <c r="BY1505">
        <v>16965</v>
      </c>
      <c r="CA1505" t="s">
        <v>2279</v>
      </c>
      <c r="CC1505" t="s">
        <v>207</v>
      </c>
      <c r="CD1505">
        <v>7441</v>
      </c>
      <c r="CE1505" t="s">
        <v>191</v>
      </c>
      <c r="CF1505" s="3">
        <v>45946</v>
      </c>
      <c r="CI1505">
        <v>1</v>
      </c>
      <c r="CJ1505">
        <v>1</v>
      </c>
      <c r="CK1505">
        <v>21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"080068512687"</f>
        <v>080068512687</v>
      </c>
      <c r="F1506" s="3">
        <v>45944</v>
      </c>
      <c r="G1506">
        <v>202607</v>
      </c>
      <c r="H1506" t="s">
        <v>79</v>
      </c>
      <c r="I1506" t="s">
        <v>80</v>
      </c>
      <c r="J1506" t="s">
        <v>91</v>
      </c>
      <c r="K1506" t="s">
        <v>78</v>
      </c>
      <c r="L1506" t="s">
        <v>223</v>
      </c>
      <c r="M1506" t="s">
        <v>224</v>
      </c>
      <c r="N1506" t="s">
        <v>1574</v>
      </c>
      <c r="O1506" t="s">
        <v>82</v>
      </c>
      <c r="P1506" t="str">
        <f>"4170064194                    "</f>
        <v xml:space="preserve">4170064194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17.46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0.9</v>
      </c>
      <c r="BK1506">
        <v>1</v>
      </c>
      <c r="BL1506">
        <v>55.42</v>
      </c>
      <c r="BM1506">
        <v>8.31</v>
      </c>
      <c r="BN1506">
        <v>63.73</v>
      </c>
      <c r="BO1506">
        <v>63.73</v>
      </c>
      <c r="BQ1506" t="s">
        <v>1575</v>
      </c>
      <c r="BR1506" t="s">
        <v>97</v>
      </c>
      <c r="BS1506" s="3">
        <v>45945</v>
      </c>
      <c r="BT1506" s="4">
        <v>0.36944444444444446</v>
      </c>
      <c r="BU1506" t="s">
        <v>2280</v>
      </c>
      <c r="BV1506" t="s">
        <v>86</v>
      </c>
      <c r="BY1506">
        <v>4275</v>
      </c>
      <c r="CA1506" t="s">
        <v>1459</v>
      </c>
      <c r="CC1506" t="s">
        <v>224</v>
      </c>
      <c r="CD1506">
        <v>1459</v>
      </c>
      <c r="CE1506" t="s">
        <v>191</v>
      </c>
      <c r="CF1506" s="3">
        <v>45945</v>
      </c>
      <c r="CI1506">
        <v>1</v>
      </c>
      <c r="CJ1506">
        <v>1</v>
      </c>
      <c r="CK1506">
        <v>22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"080068512714"</f>
        <v>080068512714</v>
      </c>
      <c r="F1507" s="3">
        <v>45944</v>
      </c>
      <c r="G1507">
        <v>202607</v>
      </c>
      <c r="H1507" t="s">
        <v>79</v>
      </c>
      <c r="I1507" t="s">
        <v>80</v>
      </c>
      <c r="J1507" t="s">
        <v>91</v>
      </c>
      <c r="K1507" t="s">
        <v>78</v>
      </c>
      <c r="L1507" t="s">
        <v>2281</v>
      </c>
      <c r="M1507" t="s">
        <v>2282</v>
      </c>
      <c r="N1507" t="s">
        <v>2283</v>
      </c>
      <c r="O1507" t="s">
        <v>82</v>
      </c>
      <c r="P1507" t="str">
        <f>"4170064136                    "</f>
        <v xml:space="preserve">4170064136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33.520000000000003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2.6</v>
      </c>
      <c r="BJ1507">
        <v>1.3</v>
      </c>
      <c r="BK1507">
        <v>3</v>
      </c>
      <c r="BL1507">
        <v>106.4</v>
      </c>
      <c r="BM1507">
        <v>15.96</v>
      </c>
      <c r="BN1507">
        <v>122.36</v>
      </c>
      <c r="BO1507">
        <v>122.36</v>
      </c>
      <c r="BQ1507" t="s">
        <v>2284</v>
      </c>
      <c r="BR1507" t="s">
        <v>97</v>
      </c>
      <c r="BS1507" s="3">
        <v>45945</v>
      </c>
      <c r="BT1507" s="4">
        <v>0.55555555555555558</v>
      </c>
      <c r="BU1507" t="s">
        <v>1939</v>
      </c>
      <c r="BV1507" t="s">
        <v>90</v>
      </c>
      <c r="BW1507" t="s">
        <v>188</v>
      </c>
      <c r="BX1507" t="s">
        <v>2285</v>
      </c>
      <c r="BY1507">
        <v>6310.5</v>
      </c>
      <c r="CA1507" t="s">
        <v>2286</v>
      </c>
      <c r="CC1507" t="s">
        <v>2282</v>
      </c>
      <c r="CD1507">
        <v>9300</v>
      </c>
      <c r="CE1507" t="s">
        <v>107</v>
      </c>
      <c r="CF1507" s="3">
        <v>45946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"080068512762"</f>
        <v>080068512762</v>
      </c>
      <c r="F1508" s="3">
        <v>45944</v>
      </c>
      <c r="G1508">
        <v>202607</v>
      </c>
      <c r="H1508" t="s">
        <v>79</v>
      </c>
      <c r="I1508" t="s">
        <v>80</v>
      </c>
      <c r="J1508" t="s">
        <v>91</v>
      </c>
      <c r="K1508" t="s">
        <v>78</v>
      </c>
      <c r="L1508" t="s">
        <v>884</v>
      </c>
      <c r="M1508" t="s">
        <v>885</v>
      </c>
      <c r="N1508" t="s">
        <v>886</v>
      </c>
      <c r="O1508" t="s">
        <v>82</v>
      </c>
      <c r="P1508" t="str">
        <f>"4170064192                    "</f>
        <v xml:space="preserve">4170064192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43.31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0.2</v>
      </c>
      <c r="BJ1508">
        <v>1</v>
      </c>
      <c r="BK1508">
        <v>1</v>
      </c>
      <c r="BL1508">
        <v>137.47</v>
      </c>
      <c r="BM1508">
        <v>20.62</v>
      </c>
      <c r="BN1508">
        <v>158.09</v>
      </c>
      <c r="BO1508">
        <v>158.09</v>
      </c>
      <c r="BQ1508" t="s">
        <v>887</v>
      </c>
      <c r="BR1508" t="s">
        <v>97</v>
      </c>
      <c r="BS1508" s="3">
        <v>45945</v>
      </c>
      <c r="BT1508" s="4">
        <v>0.30555555555555558</v>
      </c>
      <c r="BU1508" t="s">
        <v>888</v>
      </c>
      <c r="BV1508" t="s">
        <v>86</v>
      </c>
      <c r="BY1508">
        <v>5222.91</v>
      </c>
      <c r="CC1508" t="s">
        <v>885</v>
      </c>
      <c r="CD1508">
        <v>2740</v>
      </c>
      <c r="CE1508" t="s">
        <v>147</v>
      </c>
      <c r="CF1508" s="3">
        <v>45946</v>
      </c>
      <c r="CI1508">
        <v>1</v>
      </c>
      <c r="CJ1508">
        <v>1</v>
      </c>
      <c r="CK1508">
        <v>23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"080068512810"</f>
        <v>080068512810</v>
      </c>
      <c r="F1509" s="3">
        <v>45944</v>
      </c>
      <c r="G1509">
        <v>202607</v>
      </c>
      <c r="H1509" t="s">
        <v>79</v>
      </c>
      <c r="I1509" t="s">
        <v>80</v>
      </c>
      <c r="J1509" t="s">
        <v>91</v>
      </c>
      <c r="K1509" t="s">
        <v>78</v>
      </c>
      <c r="L1509" t="s">
        <v>223</v>
      </c>
      <c r="M1509" t="s">
        <v>224</v>
      </c>
      <c r="N1509" t="s">
        <v>1574</v>
      </c>
      <c r="O1509" t="s">
        <v>82</v>
      </c>
      <c r="P1509" t="str">
        <f>"4170064182                    "</f>
        <v xml:space="preserve">4170064182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17.46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1.9</v>
      </c>
      <c r="BK1509">
        <v>2</v>
      </c>
      <c r="BL1509">
        <v>55.42</v>
      </c>
      <c r="BM1509">
        <v>8.31</v>
      </c>
      <c r="BN1509">
        <v>63.73</v>
      </c>
      <c r="BO1509">
        <v>63.73</v>
      </c>
      <c r="BQ1509" t="s">
        <v>1575</v>
      </c>
      <c r="BR1509" t="s">
        <v>97</v>
      </c>
      <c r="BS1509" s="3">
        <v>45945</v>
      </c>
      <c r="BT1509" s="4">
        <v>0.36944444444444446</v>
      </c>
      <c r="BU1509" t="s">
        <v>2280</v>
      </c>
      <c r="BV1509" t="s">
        <v>86</v>
      </c>
      <c r="BY1509">
        <v>9576</v>
      </c>
      <c r="CA1509" t="s">
        <v>1459</v>
      </c>
      <c r="CC1509" t="s">
        <v>224</v>
      </c>
      <c r="CD1509">
        <v>1459</v>
      </c>
      <c r="CE1509" t="s">
        <v>191</v>
      </c>
      <c r="CF1509" s="3">
        <v>45945</v>
      </c>
      <c r="CI1509">
        <v>1</v>
      </c>
      <c r="CJ1509">
        <v>1</v>
      </c>
      <c r="CK1509">
        <v>22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"080068512828"</f>
        <v>080068512828</v>
      </c>
      <c r="F1510" s="3">
        <v>45944</v>
      </c>
      <c r="G1510">
        <v>202607</v>
      </c>
      <c r="H1510" t="s">
        <v>79</v>
      </c>
      <c r="I1510" t="s">
        <v>80</v>
      </c>
      <c r="J1510" t="s">
        <v>91</v>
      </c>
      <c r="K1510" t="s">
        <v>78</v>
      </c>
      <c r="L1510" t="s">
        <v>206</v>
      </c>
      <c r="M1510" t="s">
        <v>207</v>
      </c>
      <c r="N1510" t="s">
        <v>935</v>
      </c>
      <c r="O1510" t="s">
        <v>82</v>
      </c>
      <c r="P1510" t="str">
        <f>"4170064168                    "</f>
        <v xml:space="preserve">4170064168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22.36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1.1000000000000001</v>
      </c>
      <c r="BK1510">
        <v>1.5</v>
      </c>
      <c r="BL1510">
        <v>70.959999999999994</v>
      </c>
      <c r="BM1510">
        <v>10.64</v>
      </c>
      <c r="BN1510">
        <v>81.599999999999994</v>
      </c>
      <c r="BO1510">
        <v>81.599999999999994</v>
      </c>
      <c r="BQ1510" t="s">
        <v>936</v>
      </c>
      <c r="BR1510" t="s">
        <v>97</v>
      </c>
      <c r="BS1510" s="3">
        <v>45945</v>
      </c>
      <c r="BT1510" s="4">
        <v>0.3888888888888889</v>
      </c>
      <c r="BU1510" t="s">
        <v>2278</v>
      </c>
      <c r="BV1510" t="s">
        <v>86</v>
      </c>
      <c r="BY1510">
        <v>5320</v>
      </c>
      <c r="CA1510" t="s">
        <v>2279</v>
      </c>
      <c r="CC1510" t="s">
        <v>207</v>
      </c>
      <c r="CD1510">
        <v>7441</v>
      </c>
      <c r="CE1510" t="s">
        <v>191</v>
      </c>
      <c r="CF1510" s="3">
        <v>45946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"080068512885"</f>
        <v>080068512885</v>
      </c>
      <c r="F1511" s="3">
        <v>45944</v>
      </c>
      <c r="G1511">
        <v>202607</v>
      </c>
      <c r="H1511" t="s">
        <v>79</v>
      </c>
      <c r="I1511" t="s">
        <v>80</v>
      </c>
      <c r="J1511" t="s">
        <v>91</v>
      </c>
      <c r="K1511" t="s">
        <v>78</v>
      </c>
      <c r="L1511" t="s">
        <v>306</v>
      </c>
      <c r="M1511" t="s">
        <v>307</v>
      </c>
      <c r="N1511" t="s">
        <v>335</v>
      </c>
      <c r="O1511" t="s">
        <v>82</v>
      </c>
      <c r="P1511" t="str">
        <f>"4170064155                    "</f>
        <v xml:space="preserve">4170064155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22.36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1.9</v>
      </c>
      <c r="BK1511">
        <v>2</v>
      </c>
      <c r="BL1511">
        <v>70.959999999999994</v>
      </c>
      <c r="BM1511">
        <v>10.64</v>
      </c>
      <c r="BN1511">
        <v>81.599999999999994</v>
      </c>
      <c r="BO1511">
        <v>81.599999999999994</v>
      </c>
      <c r="BQ1511" t="s">
        <v>475</v>
      </c>
      <c r="BR1511" t="s">
        <v>97</v>
      </c>
      <c r="BS1511" s="3">
        <v>45945</v>
      </c>
      <c r="BT1511" s="4">
        <v>0.75277777777777777</v>
      </c>
      <c r="BU1511" t="s">
        <v>476</v>
      </c>
      <c r="BV1511" t="s">
        <v>90</v>
      </c>
      <c r="BW1511" t="s">
        <v>136</v>
      </c>
      <c r="BX1511" t="s">
        <v>858</v>
      </c>
      <c r="BY1511">
        <v>9600</v>
      </c>
      <c r="CA1511" t="s">
        <v>311</v>
      </c>
      <c r="CC1511" t="s">
        <v>307</v>
      </c>
      <c r="CD1511">
        <v>4133</v>
      </c>
      <c r="CE1511" t="s">
        <v>191</v>
      </c>
      <c r="CF1511" s="3">
        <v>45946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"080068512917"</f>
        <v>080068512917</v>
      </c>
      <c r="F1512" s="3">
        <v>45944</v>
      </c>
      <c r="G1512">
        <v>202607</v>
      </c>
      <c r="H1512" t="s">
        <v>79</v>
      </c>
      <c r="I1512" t="s">
        <v>80</v>
      </c>
      <c r="J1512" t="s">
        <v>91</v>
      </c>
      <c r="K1512" t="s">
        <v>78</v>
      </c>
      <c r="L1512" t="s">
        <v>195</v>
      </c>
      <c r="M1512" t="s">
        <v>196</v>
      </c>
      <c r="N1512" t="s">
        <v>2287</v>
      </c>
      <c r="O1512" t="s">
        <v>82</v>
      </c>
      <c r="P1512" t="str">
        <f>"4170064237                    "</f>
        <v xml:space="preserve">4170064237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43.31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137.47</v>
      </c>
      <c r="BM1512">
        <v>20.62</v>
      </c>
      <c r="BN1512">
        <v>158.09</v>
      </c>
      <c r="BO1512">
        <v>158.09</v>
      </c>
      <c r="BQ1512" t="s">
        <v>2288</v>
      </c>
      <c r="BR1512" t="s">
        <v>97</v>
      </c>
      <c r="BS1512" s="3">
        <v>45945</v>
      </c>
      <c r="BT1512" s="4">
        <v>0.42083333333333334</v>
      </c>
      <c r="BU1512" t="s">
        <v>2289</v>
      </c>
      <c r="BV1512" t="s">
        <v>86</v>
      </c>
      <c r="BY1512">
        <v>1200</v>
      </c>
      <c r="CA1512" t="s">
        <v>200</v>
      </c>
      <c r="CC1512" t="s">
        <v>196</v>
      </c>
      <c r="CD1512">
        <v>1911</v>
      </c>
      <c r="CE1512" t="s">
        <v>147</v>
      </c>
      <c r="CF1512" s="3">
        <v>45945</v>
      </c>
      <c r="CI1512">
        <v>1</v>
      </c>
      <c r="CJ1512">
        <v>1</v>
      </c>
      <c r="CK1512">
        <v>23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"080068513065"</f>
        <v>080068513065</v>
      </c>
      <c r="F1513" s="3">
        <v>45944</v>
      </c>
      <c r="G1513">
        <v>202607</v>
      </c>
      <c r="H1513" t="s">
        <v>79</v>
      </c>
      <c r="I1513" t="s">
        <v>80</v>
      </c>
      <c r="J1513" t="s">
        <v>91</v>
      </c>
      <c r="K1513" t="s">
        <v>78</v>
      </c>
      <c r="L1513" t="s">
        <v>884</v>
      </c>
      <c r="M1513" t="s">
        <v>885</v>
      </c>
      <c r="N1513" t="s">
        <v>886</v>
      </c>
      <c r="O1513" t="s">
        <v>82</v>
      </c>
      <c r="P1513" t="str">
        <f>"4170064167                    "</f>
        <v xml:space="preserve">4170064167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43.31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0.2</v>
      </c>
      <c r="BJ1513">
        <v>0.8</v>
      </c>
      <c r="BK1513">
        <v>1</v>
      </c>
      <c r="BL1513">
        <v>137.47</v>
      </c>
      <c r="BM1513">
        <v>20.62</v>
      </c>
      <c r="BN1513">
        <v>158.09</v>
      </c>
      <c r="BO1513">
        <v>158.09</v>
      </c>
      <c r="BQ1513" t="s">
        <v>887</v>
      </c>
      <c r="BR1513" t="s">
        <v>97</v>
      </c>
      <c r="BS1513" s="3">
        <v>45945</v>
      </c>
      <c r="BT1513" s="4">
        <v>0.30555555555555558</v>
      </c>
      <c r="BU1513" t="s">
        <v>888</v>
      </c>
      <c r="BV1513" t="s">
        <v>86</v>
      </c>
      <c r="BY1513">
        <v>3783.4</v>
      </c>
      <c r="CC1513" t="s">
        <v>885</v>
      </c>
      <c r="CD1513">
        <v>2740</v>
      </c>
      <c r="CE1513" t="s">
        <v>147</v>
      </c>
      <c r="CF1513" s="3">
        <v>45946</v>
      </c>
      <c r="CI1513">
        <v>1</v>
      </c>
      <c r="CJ1513">
        <v>1</v>
      </c>
      <c r="CK1513">
        <v>23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"080068513097"</f>
        <v>080068513097</v>
      </c>
      <c r="F1514" s="3">
        <v>45944</v>
      </c>
      <c r="G1514">
        <v>202607</v>
      </c>
      <c r="H1514" t="s">
        <v>79</v>
      </c>
      <c r="I1514" t="s">
        <v>80</v>
      </c>
      <c r="J1514" t="s">
        <v>91</v>
      </c>
      <c r="K1514" t="s">
        <v>78</v>
      </c>
      <c r="L1514" t="s">
        <v>239</v>
      </c>
      <c r="M1514" t="s">
        <v>240</v>
      </c>
      <c r="N1514" t="s">
        <v>2290</v>
      </c>
      <c r="O1514" t="s">
        <v>82</v>
      </c>
      <c r="P1514" t="str">
        <f>"4170061271                    "</f>
        <v xml:space="preserve">4170061271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43.31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1.4</v>
      </c>
      <c r="BJ1514">
        <v>1.1000000000000001</v>
      </c>
      <c r="BK1514">
        <v>1.5</v>
      </c>
      <c r="BL1514">
        <v>137.47</v>
      </c>
      <c r="BM1514">
        <v>20.62</v>
      </c>
      <c r="BN1514">
        <v>158.09</v>
      </c>
      <c r="BO1514">
        <v>158.09</v>
      </c>
      <c r="BQ1514" t="s">
        <v>2291</v>
      </c>
      <c r="BR1514" t="s">
        <v>97</v>
      </c>
      <c r="BS1514" s="3">
        <v>45945</v>
      </c>
      <c r="BT1514" s="4">
        <v>0.42499999999999999</v>
      </c>
      <c r="BU1514" t="s">
        <v>2292</v>
      </c>
      <c r="BV1514" t="s">
        <v>86</v>
      </c>
      <c r="BY1514">
        <v>5348.12</v>
      </c>
      <c r="CA1514" t="s">
        <v>529</v>
      </c>
      <c r="CC1514" t="s">
        <v>240</v>
      </c>
      <c r="CD1514" s="5" t="s">
        <v>245</v>
      </c>
      <c r="CE1514" t="s">
        <v>107</v>
      </c>
      <c r="CF1514" s="3">
        <v>45946</v>
      </c>
      <c r="CI1514">
        <v>1</v>
      </c>
      <c r="CJ1514">
        <v>1</v>
      </c>
      <c r="CK1514">
        <v>23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"080068513102"</f>
        <v>080068513102</v>
      </c>
      <c r="F1515" s="3">
        <v>45944</v>
      </c>
      <c r="G1515">
        <v>202607</v>
      </c>
      <c r="H1515" t="s">
        <v>79</v>
      </c>
      <c r="I1515" t="s">
        <v>80</v>
      </c>
      <c r="J1515" t="s">
        <v>91</v>
      </c>
      <c r="K1515" t="s">
        <v>78</v>
      </c>
      <c r="L1515" t="s">
        <v>985</v>
      </c>
      <c r="M1515" t="s">
        <v>986</v>
      </c>
      <c r="N1515" t="s">
        <v>1409</v>
      </c>
      <c r="O1515" t="s">
        <v>82</v>
      </c>
      <c r="P1515" t="str">
        <f>"4170064234                    "</f>
        <v xml:space="preserve">4170064234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22.36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70.959999999999994</v>
      </c>
      <c r="BM1515">
        <v>10.64</v>
      </c>
      <c r="BN1515">
        <v>81.599999999999994</v>
      </c>
      <c r="BO1515">
        <v>81.599999999999994</v>
      </c>
      <c r="BQ1515" t="s">
        <v>1410</v>
      </c>
      <c r="BR1515" t="s">
        <v>97</v>
      </c>
      <c r="BS1515" s="3">
        <v>45945</v>
      </c>
      <c r="BT1515" s="4">
        <v>0.39027777777777778</v>
      </c>
      <c r="BU1515" t="s">
        <v>2293</v>
      </c>
      <c r="BV1515" t="s">
        <v>86</v>
      </c>
      <c r="BY1515">
        <v>1200</v>
      </c>
      <c r="CA1515" t="s">
        <v>1359</v>
      </c>
      <c r="CC1515" t="s">
        <v>986</v>
      </c>
      <c r="CD1515">
        <v>7600</v>
      </c>
      <c r="CE1515" t="s">
        <v>147</v>
      </c>
      <c r="CF1515" s="3">
        <v>45946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"080068513122"</f>
        <v>080068513122</v>
      </c>
      <c r="F1516" s="3">
        <v>45944</v>
      </c>
      <c r="G1516">
        <v>202607</v>
      </c>
      <c r="H1516" t="s">
        <v>79</v>
      </c>
      <c r="I1516" t="s">
        <v>80</v>
      </c>
      <c r="J1516" t="s">
        <v>91</v>
      </c>
      <c r="K1516" t="s">
        <v>78</v>
      </c>
      <c r="L1516" t="s">
        <v>79</v>
      </c>
      <c r="M1516" t="s">
        <v>80</v>
      </c>
      <c r="N1516" t="s">
        <v>1164</v>
      </c>
      <c r="O1516" t="s">
        <v>82</v>
      </c>
      <c r="P1516" t="str">
        <f>"4170064185                    "</f>
        <v xml:space="preserve">4170064185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17.46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1.7</v>
      </c>
      <c r="BK1516">
        <v>2</v>
      </c>
      <c r="BL1516">
        <v>55.42</v>
      </c>
      <c r="BM1516">
        <v>8.31</v>
      </c>
      <c r="BN1516">
        <v>63.73</v>
      </c>
      <c r="BO1516">
        <v>63.73</v>
      </c>
      <c r="BQ1516" t="s">
        <v>1165</v>
      </c>
      <c r="BR1516" t="s">
        <v>97</v>
      </c>
      <c r="BS1516" s="3">
        <v>45945</v>
      </c>
      <c r="BT1516" s="4">
        <v>0.35069444444444442</v>
      </c>
      <c r="BU1516" t="s">
        <v>2294</v>
      </c>
      <c r="BV1516" t="s">
        <v>86</v>
      </c>
      <c r="BY1516">
        <v>8550</v>
      </c>
      <c r="CA1516" t="s">
        <v>419</v>
      </c>
      <c r="CC1516" t="s">
        <v>80</v>
      </c>
      <c r="CD1516">
        <v>1665</v>
      </c>
      <c r="CE1516" t="s">
        <v>191</v>
      </c>
      <c r="CF1516" s="3">
        <v>45946</v>
      </c>
      <c r="CI1516">
        <v>1</v>
      </c>
      <c r="CJ1516">
        <v>1</v>
      </c>
      <c r="CK1516">
        <v>22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"080068513149"</f>
        <v>080068513149</v>
      </c>
      <c r="F1517" s="3">
        <v>45944</v>
      </c>
      <c r="G1517">
        <v>202607</v>
      </c>
      <c r="H1517" t="s">
        <v>79</v>
      </c>
      <c r="I1517" t="s">
        <v>80</v>
      </c>
      <c r="J1517" t="s">
        <v>91</v>
      </c>
      <c r="K1517" t="s">
        <v>78</v>
      </c>
      <c r="L1517" t="s">
        <v>168</v>
      </c>
      <c r="M1517" t="s">
        <v>169</v>
      </c>
      <c r="N1517" t="s">
        <v>873</v>
      </c>
      <c r="O1517" t="s">
        <v>82</v>
      </c>
      <c r="P1517" t="str">
        <f>"4170064223                    "</f>
        <v xml:space="preserve">4170064223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22.36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1.4</v>
      </c>
      <c r="BK1517">
        <v>2</v>
      </c>
      <c r="BL1517">
        <v>70.959999999999994</v>
      </c>
      <c r="BM1517">
        <v>10.64</v>
      </c>
      <c r="BN1517">
        <v>81.599999999999994</v>
      </c>
      <c r="BO1517">
        <v>81.599999999999994</v>
      </c>
      <c r="BQ1517" t="s">
        <v>874</v>
      </c>
      <c r="BR1517" t="s">
        <v>97</v>
      </c>
      <c r="BS1517" s="3">
        <v>45945</v>
      </c>
      <c r="BT1517" s="4">
        <v>0.47708333333333336</v>
      </c>
      <c r="BU1517" t="s">
        <v>2206</v>
      </c>
      <c r="BV1517" t="s">
        <v>86</v>
      </c>
      <c r="BY1517">
        <v>7000</v>
      </c>
      <c r="CC1517" t="s">
        <v>169</v>
      </c>
      <c r="CD1517" s="5" t="s">
        <v>877</v>
      </c>
      <c r="CE1517" t="s">
        <v>191</v>
      </c>
      <c r="CF1517" s="3">
        <v>45945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"080068513645"</f>
        <v>080068513645</v>
      </c>
      <c r="F1518" s="3">
        <v>45944</v>
      </c>
      <c r="G1518">
        <v>202607</v>
      </c>
      <c r="H1518" t="s">
        <v>79</v>
      </c>
      <c r="I1518" t="s">
        <v>80</v>
      </c>
      <c r="J1518" t="s">
        <v>91</v>
      </c>
      <c r="K1518" t="s">
        <v>78</v>
      </c>
      <c r="L1518" t="s">
        <v>121</v>
      </c>
      <c r="M1518" t="s">
        <v>122</v>
      </c>
      <c r="N1518" t="s">
        <v>154</v>
      </c>
      <c r="O1518" t="s">
        <v>82</v>
      </c>
      <c r="P1518" t="str">
        <f>"4170064202                    "</f>
        <v xml:space="preserve">4170064202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22.36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70.959999999999994</v>
      </c>
      <c r="BM1518">
        <v>10.64</v>
      </c>
      <c r="BN1518">
        <v>81.599999999999994</v>
      </c>
      <c r="BO1518">
        <v>81.599999999999994</v>
      </c>
      <c r="BQ1518" t="s">
        <v>155</v>
      </c>
      <c r="BR1518" t="s">
        <v>97</v>
      </c>
      <c r="BS1518" s="3">
        <v>45945</v>
      </c>
      <c r="BT1518" s="4">
        <v>0.74791666666666667</v>
      </c>
      <c r="BU1518" t="s">
        <v>2295</v>
      </c>
      <c r="BV1518" t="s">
        <v>90</v>
      </c>
      <c r="BW1518" t="s">
        <v>136</v>
      </c>
      <c r="BX1518" t="s">
        <v>858</v>
      </c>
      <c r="BY1518">
        <v>1200</v>
      </c>
      <c r="CA1518" t="s">
        <v>311</v>
      </c>
      <c r="CC1518" t="s">
        <v>122</v>
      </c>
      <c r="CD1518">
        <v>4052</v>
      </c>
      <c r="CE1518" t="s">
        <v>147</v>
      </c>
      <c r="CF1518" s="3">
        <v>45946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"080068513663"</f>
        <v>080068513663</v>
      </c>
      <c r="F1519" s="3">
        <v>45944</v>
      </c>
      <c r="G1519">
        <v>202607</v>
      </c>
      <c r="H1519" t="s">
        <v>79</v>
      </c>
      <c r="I1519" t="s">
        <v>80</v>
      </c>
      <c r="J1519" t="s">
        <v>91</v>
      </c>
      <c r="K1519" t="s">
        <v>78</v>
      </c>
      <c r="L1519" t="s">
        <v>121</v>
      </c>
      <c r="M1519" t="s">
        <v>122</v>
      </c>
      <c r="N1519" t="s">
        <v>424</v>
      </c>
      <c r="O1519" t="s">
        <v>82</v>
      </c>
      <c r="P1519" t="str">
        <f>"4170064141                    "</f>
        <v xml:space="preserve">4170064141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22.36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70.959999999999994</v>
      </c>
      <c r="BM1519">
        <v>10.64</v>
      </c>
      <c r="BN1519">
        <v>81.599999999999994</v>
      </c>
      <c r="BO1519">
        <v>81.599999999999994</v>
      </c>
      <c r="BQ1519" t="s">
        <v>425</v>
      </c>
      <c r="BR1519" t="s">
        <v>97</v>
      </c>
      <c r="BS1519" s="3">
        <v>45945</v>
      </c>
      <c r="BT1519" s="4">
        <v>0.75</v>
      </c>
      <c r="BU1519" t="s">
        <v>2296</v>
      </c>
      <c r="BV1519" t="s">
        <v>90</v>
      </c>
      <c r="BW1519" t="s">
        <v>136</v>
      </c>
      <c r="BX1519" t="s">
        <v>858</v>
      </c>
      <c r="BY1519">
        <v>1200</v>
      </c>
      <c r="CA1519" t="s">
        <v>311</v>
      </c>
      <c r="CC1519" t="s">
        <v>122</v>
      </c>
      <c r="CD1519">
        <v>4052</v>
      </c>
      <c r="CE1519" t="s">
        <v>147</v>
      </c>
      <c r="CF1519" s="3">
        <v>45946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"080068513685"</f>
        <v>080068513685</v>
      </c>
      <c r="F1520" s="3">
        <v>45944</v>
      </c>
      <c r="G1520">
        <v>202607</v>
      </c>
      <c r="H1520" t="s">
        <v>79</v>
      </c>
      <c r="I1520" t="s">
        <v>80</v>
      </c>
      <c r="J1520" t="s">
        <v>91</v>
      </c>
      <c r="K1520" t="s">
        <v>78</v>
      </c>
      <c r="L1520" t="s">
        <v>75</v>
      </c>
      <c r="M1520" t="s">
        <v>76</v>
      </c>
      <c r="N1520" t="s">
        <v>1501</v>
      </c>
      <c r="O1520" t="s">
        <v>82</v>
      </c>
      <c r="P1520" t="str">
        <f>"4170064191                    "</f>
        <v xml:space="preserve">4170064191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17.46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55.42</v>
      </c>
      <c r="BM1520">
        <v>8.31</v>
      </c>
      <c r="BN1520">
        <v>63.73</v>
      </c>
      <c r="BO1520">
        <v>63.73</v>
      </c>
      <c r="BQ1520" t="s">
        <v>1502</v>
      </c>
      <c r="BR1520" t="s">
        <v>97</v>
      </c>
      <c r="BS1520" s="3">
        <v>45945</v>
      </c>
      <c r="BT1520" s="4">
        <v>0.65555555555555556</v>
      </c>
      <c r="BU1520" t="s">
        <v>381</v>
      </c>
      <c r="BV1520" t="s">
        <v>90</v>
      </c>
      <c r="BW1520" t="s">
        <v>188</v>
      </c>
      <c r="BX1520" t="s">
        <v>1896</v>
      </c>
      <c r="BY1520">
        <v>1200</v>
      </c>
      <c r="CA1520" t="s">
        <v>2297</v>
      </c>
      <c r="CC1520" t="s">
        <v>76</v>
      </c>
      <c r="CD1520">
        <v>2163</v>
      </c>
      <c r="CE1520" t="s">
        <v>147</v>
      </c>
      <c r="CF1520" s="3">
        <v>45945</v>
      </c>
      <c r="CI1520">
        <v>1</v>
      </c>
      <c r="CJ1520">
        <v>1</v>
      </c>
      <c r="CK1520">
        <v>22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"080068513727"</f>
        <v>080068513727</v>
      </c>
      <c r="F1521" s="3">
        <v>45944</v>
      </c>
      <c r="G1521">
        <v>202607</v>
      </c>
      <c r="H1521" t="s">
        <v>79</v>
      </c>
      <c r="I1521" t="s">
        <v>80</v>
      </c>
      <c r="J1521" t="s">
        <v>91</v>
      </c>
      <c r="K1521" t="s">
        <v>78</v>
      </c>
      <c r="L1521" t="s">
        <v>271</v>
      </c>
      <c r="M1521" t="s">
        <v>272</v>
      </c>
      <c r="N1521" t="s">
        <v>1161</v>
      </c>
      <c r="O1521" t="s">
        <v>226</v>
      </c>
      <c r="P1521" t="str">
        <f>"4170064236                    "</f>
        <v xml:space="preserve">4170064236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17.47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3</v>
      </c>
      <c r="BJ1521">
        <v>2</v>
      </c>
      <c r="BK1521">
        <v>3</v>
      </c>
      <c r="BL1521">
        <v>55.44</v>
      </c>
      <c r="BM1521">
        <v>8.32</v>
      </c>
      <c r="BN1521">
        <v>63.76</v>
      </c>
      <c r="BO1521">
        <v>63.76</v>
      </c>
      <c r="BQ1521" t="s">
        <v>1162</v>
      </c>
      <c r="BR1521" t="s">
        <v>97</v>
      </c>
      <c r="BS1521" s="3">
        <v>45945</v>
      </c>
      <c r="BT1521" s="4">
        <v>0.37291666666666667</v>
      </c>
      <c r="BU1521" t="s">
        <v>2298</v>
      </c>
      <c r="BV1521" t="s">
        <v>86</v>
      </c>
      <c r="BY1521">
        <v>9856</v>
      </c>
      <c r="CA1521" t="s">
        <v>2299</v>
      </c>
      <c r="CC1521" t="s">
        <v>272</v>
      </c>
      <c r="CD1521">
        <v>1428</v>
      </c>
      <c r="CE1521" t="s">
        <v>107</v>
      </c>
      <c r="CF1521" s="3">
        <v>45945</v>
      </c>
      <c r="CI1521">
        <v>1</v>
      </c>
      <c r="CJ1521">
        <v>1</v>
      </c>
      <c r="CK1521">
        <v>32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"080068513756"</f>
        <v>080068513756</v>
      </c>
      <c r="F1522" s="3">
        <v>45944</v>
      </c>
      <c r="G1522">
        <v>202607</v>
      </c>
      <c r="H1522" t="s">
        <v>79</v>
      </c>
      <c r="I1522" t="s">
        <v>80</v>
      </c>
      <c r="J1522" t="s">
        <v>91</v>
      </c>
      <c r="K1522" t="s">
        <v>78</v>
      </c>
      <c r="L1522" t="s">
        <v>206</v>
      </c>
      <c r="M1522" t="s">
        <v>207</v>
      </c>
      <c r="N1522" t="s">
        <v>656</v>
      </c>
      <c r="O1522" t="s">
        <v>82</v>
      </c>
      <c r="P1522" t="str">
        <f>"4170064251                    "</f>
        <v xml:space="preserve">4170064251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22.36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1.9</v>
      </c>
      <c r="BK1522">
        <v>2</v>
      </c>
      <c r="BL1522">
        <v>70.959999999999994</v>
      </c>
      <c r="BM1522">
        <v>10.64</v>
      </c>
      <c r="BN1522">
        <v>81.599999999999994</v>
      </c>
      <c r="BO1522">
        <v>81.599999999999994</v>
      </c>
      <c r="BQ1522" t="s">
        <v>657</v>
      </c>
      <c r="BR1522" t="s">
        <v>97</v>
      </c>
      <c r="BS1522" s="3">
        <v>45945</v>
      </c>
      <c r="BT1522" s="4">
        <v>0.41666666666666669</v>
      </c>
      <c r="BU1522" t="s">
        <v>658</v>
      </c>
      <c r="BV1522" t="s">
        <v>86</v>
      </c>
      <c r="BY1522">
        <v>9600</v>
      </c>
      <c r="CA1522" t="s">
        <v>211</v>
      </c>
      <c r="CC1522" t="s">
        <v>207</v>
      </c>
      <c r="CD1522">
        <v>7441</v>
      </c>
      <c r="CE1522" t="s">
        <v>191</v>
      </c>
      <c r="CF1522" s="3">
        <v>45946</v>
      </c>
      <c r="CI1522">
        <v>1</v>
      </c>
      <c r="CJ1522">
        <v>1</v>
      </c>
      <c r="CK1522">
        <v>21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"080068513794"</f>
        <v>080068513794</v>
      </c>
      <c r="F1523" s="3">
        <v>45944</v>
      </c>
      <c r="G1523">
        <v>202607</v>
      </c>
      <c r="H1523" t="s">
        <v>79</v>
      </c>
      <c r="I1523" t="s">
        <v>80</v>
      </c>
      <c r="J1523" t="s">
        <v>91</v>
      </c>
      <c r="K1523" t="s">
        <v>78</v>
      </c>
      <c r="L1523" t="s">
        <v>239</v>
      </c>
      <c r="M1523" t="s">
        <v>240</v>
      </c>
      <c r="N1523" t="s">
        <v>2300</v>
      </c>
      <c r="O1523" t="s">
        <v>82</v>
      </c>
      <c r="P1523" t="str">
        <f>"4170064217                    "</f>
        <v xml:space="preserve">4170064217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53.09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2.2000000000000002</v>
      </c>
      <c r="BJ1523">
        <v>0.9</v>
      </c>
      <c r="BK1523">
        <v>2.5</v>
      </c>
      <c r="BL1523">
        <v>168.51</v>
      </c>
      <c r="BM1523">
        <v>25.28</v>
      </c>
      <c r="BN1523">
        <v>193.79</v>
      </c>
      <c r="BO1523">
        <v>193.79</v>
      </c>
      <c r="BQ1523" t="s">
        <v>2301</v>
      </c>
      <c r="BR1523" t="s">
        <v>97</v>
      </c>
      <c r="BS1523" s="3">
        <v>45945</v>
      </c>
      <c r="BT1523" s="4">
        <v>0.4236111111111111</v>
      </c>
      <c r="BU1523" t="s">
        <v>2302</v>
      </c>
      <c r="BV1523" t="s">
        <v>86</v>
      </c>
      <c r="BY1523">
        <v>4533.78</v>
      </c>
      <c r="CA1523" t="s">
        <v>529</v>
      </c>
      <c r="CC1523" t="s">
        <v>240</v>
      </c>
      <c r="CD1523" s="5" t="s">
        <v>245</v>
      </c>
      <c r="CE1523" t="s">
        <v>191</v>
      </c>
      <c r="CF1523" s="3">
        <v>45946</v>
      </c>
      <c r="CI1523">
        <v>1</v>
      </c>
      <c r="CJ1523">
        <v>1</v>
      </c>
      <c r="CK1523">
        <v>23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"080068513821"</f>
        <v>080068513821</v>
      </c>
      <c r="F1524" s="3">
        <v>45944</v>
      </c>
      <c r="G1524">
        <v>202607</v>
      </c>
      <c r="H1524" t="s">
        <v>79</v>
      </c>
      <c r="I1524" t="s">
        <v>80</v>
      </c>
      <c r="J1524" t="s">
        <v>91</v>
      </c>
      <c r="K1524" t="s">
        <v>78</v>
      </c>
      <c r="L1524" t="s">
        <v>168</v>
      </c>
      <c r="M1524" t="s">
        <v>169</v>
      </c>
      <c r="N1524" t="s">
        <v>923</v>
      </c>
      <c r="O1524" t="s">
        <v>82</v>
      </c>
      <c r="P1524" t="str">
        <f>"4170064231                    "</f>
        <v xml:space="preserve">4170064231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22.36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2</v>
      </c>
      <c r="BJ1524">
        <v>1.7</v>
      </c>
      <c r="BK1524">
        <v>2</v>
      </c>
      <c r="BL1524">
        <v>70.959999999999994</v>
      </c>
      <c r="BM1524">
        <v>10.64</v>
      </c>
      <c r="BN1524">
        <v>81.599999999999994</v>
      </c>
      <c r="BO1524">
        <v>81.599999999999994</v>
      </c>
      <c r="BQ1524" t="s">
        <v>924</v>
      </c>
      <c r="BR1524" t="s">
        <v>97</v>
      </c>
      <c r="BS1524" s="3">
        <v>45945</v>
      </c>
      <c r="BT1524" s="4">
        <v>0.37152777777777779</v>
      </c>
      <c r="BU1524" t="s">
        <v>925</v>
      </c>
      <c r="BV1524" t="s">
        <v>86</v>
      </c>
      <c r="BY1524">
        <v>8550</v>
      </c>
      <c r="CA1524">
        <v>9107126013089</v>
      </c>
      <c r="CC1524" t="s">
        <v>169</v>
      </c>
      <c r="CD1524" s="5" t="s">
        <v>926</v>
      </c>
      <c r="CE1524" t="s">
        <v>191</v>
      </c>
      <c r="CF1524" s="3">
        <v>45945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"080068513842"</f>
        <v>080068513842</v>
      </c>
      <c r="F1525" s="3">
        <v>45944</v>
      </c>
      <c r="G1525">
        <v>202607</v>
      </c>
      <c r="H1525" t="s">
        <v>79</v>
      </c>
      <c r="I1525" t="s">
        <v>80</v>
      </c>
      <c r="J1525" t="s">
        <v>91</v>
      </c>
      <c r="K1525" t="s">
        <v>78</v>
      </c>
      <c r="L1525" t="s">
        <v>168</v>
      </c>
      <c r="M1525" t="s">
        <v>169</v>
      </c>
      <c r="N1525" t="s">
        <v>923</v>
      </c>
      <c r="O1525" t="s">
        <v>95</v>
      </c>
      <c r="P1525" t="str">
        <f>"4170064228                    "</f>
        <v xml:space="preserve">4170064228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43.23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7</v>
      </c>
      <c r="BJ1525">
        <v>3.4</v>
      </c>
      <c r="BK1525">
        <v>7</v>
      </c>
      <c r="BL1525">
        <v>143.08000000000001</v>
      </c>
      <c r="BM1525">
        <v>21.46</v>
      </c>
      <c r="BN1525">
        <v>164.54</v>
      </c>
      <c r="BO1525">
        <v>164.54</v>
      </c>
      <c r="BQ1525" t="s">
        <v>924</v>
      </c>
      <c r="BR1525" t="s">
        <v>97</v>
      </c>
      <c r="BS1525" s="3">
        <v>45945</v>
      </c>
      <c r="BT1525" s="4">
        <v>0.37152777777777779</v>
      </c>
      <c r="BU1525" t="s">
        <v>925</v>
      </c>
      <c r="BV1525" t="s">
        <v>86</v>
      </c>
      <c r="BY1525">
        <v>16965</v>
      </c>
      <c r="CA1525">
        <v>9107126013089</v>
      </c>
      <c r="CC1525" t="s">
        <v>169</v>
      </c>
      <c r="CD1525" s="5" t="s">
        <v>926</v>
      </c>
      <c r="CE1525" t="s">
        <v>191</v>
      </c>
      <c r="CF1525" s="3">
        <v>45945</v>
      </c>
      <c r="CI1525">
        <v>1</v>
      </c>
      <c r="CJ1525">
        <v>1</v>
      </c>
      <c r="CK1525">
        <v>41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"080068513866"</f>
        <v>080068513866</v>
      </c>
      <c r="F1526" s="3">
        <v>45944</v>
      </c>
      <c r="G1526">
        <v>202607</v>
      </c>
      <c r="H1526" t="s">
        <v>79</v>
      </c>
      <c r="I1526" t="s">
        <v>80</v>
      </c>
      <c r="J1526" t="s">
        <v>91</v>
      </c>
      <c r="K1526" t="s">
        <v>78</v>
      </c>
      <c r="L1526" t="s">
        <v>239</v>
      </c>
      <c r="M1526" t="s">
        <v>240</v>
      </c>
      <c r="N1526" t="s">
        <v>2300</v>
      </c>
      <c r="O1526" t="s">
        <v>82</v>
      </c>
      <c r="P1526" t="str">
        <f>"4170064213                    "</f>
        <v xml:space="preserve">4170064213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43.31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0.9</v>
      </c>
      <c r="BK1526">
        <v>1</v>
      </c>
      <c r="BL1526">
        <v>137.47</v>
      </c>
      <c r="BM1526">
        <v>20.62</v>
      </c>
      <c r="BN1526">
        <v>158.09</v>
      </c>
      <c r="BO1526">
        <v>158.09</v>
      </c>
      <c r="BQ1526" t="s">
        <v>2301</v>
      </c>
      <c r="BR1526" t="s">
        <v>97</v>
      </c>
      <c r="BS1526" s="3">
        <v>45945</v>
      </c>
      <c r="BT1526" s="4">
        <v>0.42430555555555555</v>
      </c>
      <c r="BU1526" t="s">
        <v>2303</v>
      </c>
      <c r="BV1526" t="s">
        <v>86</v>
      </c>
      <c r="BY1526">
        <v>4275</v>
      </c>
      <c r="CA1526" t="s">
        <v>529</v>
      </c>
      <c r="CC1526" t="s">
        <v>240</v>
      </c>
      <c r="CD1526" s="5" t="s">
        <v>245</v>
      </c>
      <c r="CE1526" t="s">
        <v>191</v>
      </c>
      <c r="CF1526" s="3">
        <v>45946</v>
      </c>
      <c r="CI1526">
        <v>1</v>
      </c>
      <c r="CJ1526">
        <v>1</v>
      </c>
      <c r="CK1526">
        <v>23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"080068513895"</f>
        <v>080068513895</v>
      </c>
      <c r="F1527" s="3">
        <v>45944</v>
      </c>
      <c r="G1527">
        <v>202607</v>
      </c>
      <c r="H1527" t="s">
        <v>79</v>
      </c>
      <c r="I1527" t="s">
        <v>80</v>
      </c>
      <c r="J1527" t="s">
        <v>91</v>
      </c>
      <c r="K1527" t="s">
        <v>78</v>
      </c>
      <c r="L1527" t="s">
        <v>148</v>
      </c>
      <c r="M1527" t="s">
        <v>149</v>
      </c>
      <c r="N1527" t="s">
        <v>2272</v>
      </c>
      <c r="O1527" t="s">
        <v>82</v>
      </c>
      <c r="P1527" t="str">
        <f>"4170064219                    "</f>
        <v xml:space="preserve">4170064219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17.46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2</v>
      </c>
      <c r="BJ1527">
        <v>1.1000000000000001</v>
      </c>
      <c r="BK1527">
        <v>2</v>
      </c>
      <c r="BL1527">
        <v>55.42</v>
      </c>
      <c r="BM1527">
        <v>8.31</v>
      </c>
      <c r="BN1527">
        <v>63.73</v>
      </c>
      <c r="BO1527">
        <v>63.73</v>
      </c>
      <c r="BQ1527" t="s">
        <v>2273</v>
      </c>
      <c r="BR1527" t="s">
        <v>97</v>
      </c>
      <c r="BS1527" s="3">
        <v>45945</v>
      </c>
      <c r="BT1527" s="4">
        <v>0.39583333333333331</v>
      </c>
      <c r="BU1527" t="s">
        <v>2304</v>
      </c>
      <c r="BV1527" t="s">
        <v>86</v>
      </c>
      <c r="BY1527">
        <v>5510</v>
      </c>
      <c r="CA1527" t="s">
        <v>1463</v>
      </c>
      <c r="CC1527" t="s">
        <v>149</v>
      </c>
      <c r="CD1527">
        <v>2190</v>
      </c>
      <c r="CE1527" t="s">
        <v>191</v>
      </c>
      <c r="CF1527" s="3">
        <v>45946</v>
      </c>
      <c r="CI1527">
        <v>1</v>
      </c>
      <c r="CJ1527">
        <v>1</v>
      </c>
      <c r="CK1527">
        <v>22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"080068513944"</f>
        <v>080068513944</v>
      </c>
      <c r="F1528" s="3">
        <v>45944</v>
      </c>
      <c r="G1528">
        <v>202607</v>
      </c>
      <c r="H1528" t="s">
        <v>79</v>
      </c>
      <c r="I1528" t="s">
        <v>80</v>
      </c>
      <c r="J1528" t="s">
        <v>91</v>
      </c>
      <c r="K1528" t="s">
        <v>78</v>
      </c>
      <c r="L1528" t="s">
        <v>246</v>
      </c>
      <c r="M1528" t="s">
        <v>247</v>
      </c>
      <c r="N1528" t="s">
        <v>248</v>
      </c>
      <c r="O1528" t="s">
        <v>95</v>
      </c>
      <c r="P1528" t="str">
        <f>"4170064142                    "</f>
        <v xml:space="preserve">4170064142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60.97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16.739999999999998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3</v>
      </c>
      <c r="BJ1528">
        <v>2.2000000000000002</v>
      </c>
      <c r="BK1528">
        <v>3</v>
      </c>
      <c r="BL1528">
        <v>216.13</v>
      </c>
      <c r="BM1528">
        <v>32.42</v>
      </c>
      <c r="BN1528">
        <v>248.55</v>
      </c>
      <c r="BO1528">
        <v>248.55</v>
      </c>
      <c r="BQ1528" t="s">
        <v>249</v>
      </c>
      <c r="BR1528" t="s">
        <v>97</v>
      </c>
      <c r="BS1528" s="3">
        <v>45945</v>
      </c>
      <c r="BT1528" s="4">
        <v>0.48680555555555555</v>
      </c>
      <c r="BU1528" t="s">
        <v>1775</v>
      </c>
      <c r="BV1528" t="s">
        <v>86</v>
      </c>
      <c r="BY1528">
        <v>10800</v>
      </c>
      <c r="BZ1528" t="s">
        <v>30</v>
      </c>
      <c r="CC1528" t="s">
        <v>247</v>
      </c>
      <c r="CD1528" s="5" t="s">
        <v>252</v>
      </c>
      <c r="CE1528" t="s">
        <v>191</v>
      </c>
      <c r="CF1528" s="3">
        <v>45946</v>
      </c>
      <c r="CI1528">
        <v>1</v>
      </c>
      <c r="CJ1528">
        <v>1</v>
      </c>
      <c r="CK1528">
        <v>43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"080068514015"</f>
        <v>080068514015</v>
      </c>
      <c r="F1529" s="3">
        <v>45944</v>
      </c>
      <c r="G1529">
        <v>202607</v>
      </c>
      <c r="H1529" t="s">
        <v>79</v>
      </c>
      <c r="I1529" t="s">
        <v>80</v>
      </c>
      <c r="J1529" t="s">
        <v>91</v>
      </c>
      <c r="K1529" t="s">
        <v>78</v>
      </c>
      <c r="L1529" t="s">
        <v>668</v>
      </c>
      <c r="M1529" t="s">
        <v>669</v>
      </c>
      <c r="N1529" t="s">
        <v>2305</v>
      </c>
      <c r="O1529" t="s">
        <v>226</v>
      </c>
      <c r="P1529" t="str">
        <f>"4170064178                    "</f>
        <v xml:space="preserve">4170064178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17.47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3</v>
      </c>
      <c r="BJ1529">
        <v>5.6</v>
      </c>
      <c r="BK1529">
        <v>6</v>
      </c>
      <c r="BL1529">
        <v>55.44</v>
      </c>
      <c r="BM1529">
        <v>8.32</v>
      </c>
      <c r="BN1529">
        <v>63.76</v>
      </c>
      <c r="BO1529">
        <v>63.76</v>
      </c>
      <c r="BQ1529" t="s">
        <v>2306</v>
      </c>
      <c r="BR1529" t="s">
        <v>97</v>
      </c>
      <c r="BS1529" s="3">
        <v>45945</v>
      </c>
      <c r="BT1529" s="4">
        <v>0.50763888888888886</v>
      </c>
      <c r="BU1529" t="s">
        <v>2307</v>
      </c>
      <c r="BV1529" t="s">
        <v>86</v>
      </c>
      <c r="BY1529">
        <v>28000</v>
      </c>
      <c r="CA1529" t="s">
        <v>1595</v>
      </c>
      <c r="CC1529" t="s">
        <v>669</v>
      </c>
      <c r="CD1529">
        <v>1500</v>
      </c>
      <c r="CE1529" t="s">
        <v>975</v>
      </c>
      <c r="CF1529" s="3">
        <v>45945</v>
      </c>
      <c r="CI1529">
        <v>1</v>
      </c>
      <c r="CJ1529">
        <v>1</v>
      </c>
      <c r="CK1529">
        <v>32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"080068514170"</f>
        <v>080068514170</v>
      </c>
      <c r="F1530" s="3">
        <v>45944</v>
      </c>
      <c r="G1530">
        <v>202607</v>
      </c>
      <c r="H1530" t="s">
        <v>79</v>
      </c>
      <c r="I1530" t="s">
        <v>80</v>
      </c>
      <c r="J1530" t="s">
        <v>91</v>
      </c>
      <c r="K1530" t="s">
        <v>78</v>
      </c>
      <c r="L1530" t="s">
        <v>206</v>
      </c>
      <c r="M1530" t="s">
        <v>207</v>
      </c>
      <c r="N1530" t="s">
        <v>208</v>
      </c>
      <c r="O1530" t="s">
        <v>82</v>
      </c>
      <c r="P1530" t="str">
        <f>"4170064165                    "</f>
        <v xml:space="preserve">4170064165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22.36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70.959999999999994</v>
      </c>
      <c r="BM1530">
        <v>10.64</v>
      </c>
      <c r="BN1530">
        <v>81.599999999999994</v>
      </c>
      <c r="BO1530">
        <v>81.599999999999994</v>
      </c>
      <c r="BQ1530" t="s">
        <v>209</v>
      </c>
      <c r="BR1530" t="s">
        <v>97</v>
      </c>
      <c r="BS1530" s="3">
        <v>45945</v>
      </c>
      <c r="BT1530" s="4">
        <v>0.37986111111111109</v>
      </c>
      <c r="BU1530" t="s">
        <v>1732</v>
      </c>
      <c r="BV1530" t="s">
        <v>86</v>
      </c>
      <c r="BY1530">
        <v>1200</v>
      </c>
      <c r="CA1530" t="s">
        <v>211</v>
      </c>
      <c r="CC1530" t="s">
        <v>207</v>
      </c>
      <c r="CD1530">
        <v>7441</v>
      </c>
      <c r="CE1530" t="s">
        <v>147</v>
      </c>
      <c r="CF1530" s="3">
        <v>45946</v>
      </c>
      <c r="CI1530">
        <v>1</v>
      </c>
      <c r="CJ1530">
        <v>1</v>
      </c>
      <c r="CK1530">
        <v>21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"080068514221"</f>
        <v>080068514221</v>
      </c>
      <c r="F1531" s="3">
        <v>45944</v>
      </c>
      <c r="G1531">
        <v>202607</v>
      </c>
      <c r="H1531" t="s">
        <v>79</v>
      </c>
      <c r="I1531" t="s">
        <v>80</v>
      </c>
      <c r="J1531" t="s">
        <v>91</v>
      </c>
      <c r="K1531" t="s">
        <v>78</v>
      </c>
      <c r="L1531" t="s">
        <v>102</v>
      </c>
      <c r="M1531" t="s">
        <v>103</v>
      </c>
      <c r="N1531" t="s">
        <v>2250</v>
      </c>
      <c r="O1531" t="s">
        <v>82</v>
      </c>
      <c r="P1531" t="str">
        <f>"4170064201                    "</f>
        <v xml:space="preserve">4170064201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17.46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55.42</v>
      </c>
      <c r="BM1531">
        <v>8.31</v>
      </c>
      <c r="BN1531">
        <v>63.73</v>
      </c>
      <c r="BO1531">
        <v>63.73</v>
      </c>
      <c r="BQ1531" t="s">
        <v>2251</v>
      </c>
      <c r="BR1531" t="s">
        <v>97</v>
      </c>
      <c r="BS1531" s="3">
        <v>45945</v>
      </c>
      <c r="BT1531" s="4">
        <v>0.36458333333333331</v>
      </c>
      <c r="BU1531" t="s">
        <v>2252</v>
      </c>
      <c r="BV1531" t="s">
        <v>86</v>
      </c>
      <c r="BY1531">
        <v>1200</v>
      </c>
      <c r="CA1531" t="s">
        <v>2253</v>
      </c>
      <c r="CC1531" t="s">
        <v>103</v>
      </c>
      <c r="CD1531">
        <v>1451</v>
      </c>
      <c r="CE1531" t="s">
        <v>147</v>
      </c>
      <c r="CF1531" s="3">
        <v>45945</v>
      </c>
      <c r="CI1531">
        <v>1</v>
      </c>
      <c r="CJ1531">
        <v>1</v>
      </c>
      <c r="CK1531">
        <v>22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"080068514335"</f>
        <v>080068514335</v>
      </c>
      <c r="F1532" s="3">
        <v>45944</v>
      </c>
      <c r="G1532">
        <v>202607</v>
      </c>
      <c r="H1532" t="s">
        <v>79</v>
      </c>
      <c r="I1532" t="s">
        <v>80</v>
      </c>
      <c r="J1532" t="s">
        <v>91</v>
      </c>
      <c r="K1532" t="s">
        <v>78</v>
      </c>
      <c r="L1532" t="s">
        <v>121</v>
      </c>
      <c r="M1532" t="s">
        <v>122</v>
      </c>
      <c r="N1532" t="s">
        <v>2245</v>
      </c>
      <c r="O1532" t="s">
        <v>82</v>
      </c>
      <c r="P1532" t="str">
        <f>"4170064239                    "</f>
        <v xml:space="preserve">4170064239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22.36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70.959999999999994</v>
      </c>
      <c r="BM1532">
        <v>10.64</v>
      </c>
      <c r="BN1532">
        <v>81.599999999999994</v>
      </c>
      <c r="BO1532">
        <v>81.599999999999994</v>
      </c>
      <c r="BQ1532" t="s">
        <v>2246</v>
      </c>
      <c r="BR1532" t="s">
        <v>97</v>
      </c>
      <c r="BS1532" s="3">
        <v>45945</v>
      </c>
      <c r="BT1532" s="4">
        <v>0.58472222222222225</v>
      </c>
      <c r="BU1532" t="s">
        <v>2247</v>
      </c>
      <c r="BV1532" t="s">
        <v>90</v>
      </c>
      <c r="BW1532" t="s">
        <v>136</v>
      </c>
      <c r="BX1532" t="s">
        <v>2248</v>
      </c>
      <c r="BY1532">
        <v>1200</v>
      </c>
      <c r="CA1532" t="s">
        <v>331</v>
      </c>
      <c r="CC1532" t="s">
        <v>122</v>
      </c>
      <c r="CD1532">
        <v>4052</v>
      </c>
      <c r="CE1532" t="s">
        <v>147</v>
      </c>
      <c r="CF1532" s="3">
        <v>45945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"080068514364"</f>
        <v>080068514364</v>
      </c>
      <c r="F1533" s="3">
        <v>45944</v>
      </c>
      <c r="G1533">
        <v>202607</v>
      </c>
      <c r="H1533" t="s">
        <v>79</v>
      </c>
      <c r="I1533" t="s">
        <v>80</v>
      </c>
      <c r="J1533" t="s">
        <v>91</v>
      </c>
      <c r="K1533" t="s">
        <v>78</v>
      </c>
      <c r="L1533" t="s">
        <v>763</v>
      </c>
      <c r="M1533" t="s">
        <v>764</v>
      </c>
      <c r="N1533" t="s">
        <v>765</v>
      </c>
      <c r="O1533" t="s">
        <v>95</v>
      </c>
      <c r="P1533" t="str">
        <f>"4170064214                    "</f>
        <v xml:space="preserve">4170064214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129.49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17.5</v>
      </c>
      <c r="BJ1533">
        <v>36.299999999999997</v>
      </c>
      <c r="BK1533">
        <v>37</v>
      </c>
      <c r="BL1533">
        <v>416.85</v>
      </c>
      <c r="BM1533">
        <v>62.53</v>
      </c>
      <c r="BN1533">
        <v>479.38</v>
      </c>
      <c r="BO1533">
        <v>479.38</v>
      </c>
      <c r="BQ1533" t="s">
        <v>766</v>
      </c>
      <c r="BR1533" t="s">
        <v>97</v>
      </c>
      <c r="BS1533" s="3">
        <v>45945</v>
      </c>
      <c r="BT1533" s="4">
        <v>0.37986111111111109</v>
      </c>
      <c r="BU1533" t="s">
        <v>2021</v>
      </c>
      <c r="BV1533" t="s">
        <v>86</v>
      </c>
      <c r="BY1533">
        <v>181356</v>
      </c>
      <c r="CA1533" t="s">
        <v>768</v>
      </c>
      <c r="CC1533" t="s">
        <v>764</v>
      </c>
      <c r="CD1533">
        <v>2531</v>
      </c>
      <c r="CE1533" t="s">
        <v>191</v>
      </c>
      <c r="CF1533" s="3">
        <v>45945</v>
      </c>
      <c r="CI1533">
        <v>1</v>
      </c>
      <c r="CJ1533">
        <v>1</v>
      </c>
      <c r="CK1533">
        <v>43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"080068514384"</f>
        <v>080068514384</v>
      </c>
      <c r="F1534" s="3">
        <v>45944</v>
      </c>
      <c r="G1534">
        <v>202607</v>
      </c>
      <c r="H1534" t="s">
        <v>79</v>
      </c>
      <c r="I1534" t="s">
        <v>80</v>
      </c>
      <c r="J1534" t="s">
        <v>91</v>
      </c>
      <c r="K1534" t="s">
        <v>78</v>
      </c>
      <c r="L1534" t="s">
        <v>605</v>
      </c>
      <c r="M1534" t="s">
        <v>606</v>
      </c>
      <c r="N1534" t="s">
        <v>607</v>
      </c>
      <c r="O1534" t="s">
        <v>82</v>
      </c>
      <c r="P1534" t="str">
        <f>"4170064197                    "</f>
        <v xml:space="preserve">4170064197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43.31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137.47</v>
      </c>
      <c r="BM1534">
        <v>20.62</v>
      </c>
      <c r="BN1534">
        <v>158.09</v>
      </c>
      <c r="BO1534">
        <v>158.09</v>
      </c>
      <c r="BQ1534" t="s">
        <v>608</v>
      </c>
      <c r="BR1534" t="s">
        <v>97</v>
      </c>
      <c r="BS1534" s="3">
        <v>45945</v>
      </c>
      <c r="BT1534" s="4">
        <v>0.32777777777777778</v>
      </c>
      <c r="BU1534" t="s">
        <v>609</v>
      </c>
      <c r="BV1534" t="s">
        <v>86</v>
      </c>
      <c r="BY1534">
        <v>1200</v>
      </c>
      <c r="CA1534" t="s">
        <v>1143</v>
      </c>
      <c r="CC1534" t="s">
        <v>606</v>
      </c>
      <c r="CD1534">
        <v>1947</v>
      </c>
      <c r="CE1534" t="s">
        <v>147</v>
      </c>
      <c r="CF1534" s="3">
        <v>45945</v>
      </c>
      <c r="CI1534">
        <v>1</v>
      </c>
      <c r="CJ1534">
        <v>1</v>
      </c>
      <c r="CK1534">
        <v>23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"080068514404"</f>
        <v>080068514404</v>
      </c>
      <c r="F1535" s="3">
        <v>45944</v>
      </c>
      <c r="G1535">
        <v>202607</v>
      </c>
      <c r="H1535" t="s">
        <v>79</v>
      </c>
      <c r="I1535" t="s">
        <v>80</v>
      </c>
      <c r="J1535" t="s">
        <v>91</v>
      </c>
      <c r="K1535" t="s">
        <v>78</v>
      </c>
      <c r="L1535" t="s">
        <v>79</v>
      </c>
      <c r="M1535" t="s">
        <v>80</v>
      </c>
      <c r="N1535" t="s">
        <v>1040</v>
      </c>
      <c r="O1535" t="s">
        <v>226</v>
      </c>
      <c r="P1535" t="str">
        <f>"4170064195                    "</f>
        <v xml:space="preserve">4170064195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17.47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8</v>
      </c>
      <c r="BJ1535">
        <v>1.8</v>
      </c>
      <c r="BK1535">
        <v>8</v>
      </c>
      <c r="BL1535">
        <v>55.44</v>
      </c>
      <c r="BM1535">
        <v>8.32</v>
      </c>
      <c r="BN1535">
        <v>63.76</v>
      </c>
      <c r="BO1535">
        <v>63.76</v>
      </c>
      <c r="BQ1535" t="s">
        <v>1041</v>
      </c>
      <c r="BR1535" t="s">
        <v>97</v>
      </c>
      <c r="BS1535" s="3">
        <v>45945</v>
      </c>
      <c r="BT1535" s="4">
        <v>0.29166666666666669</v>
      </c>
      <c r="BU1535" t="s">
        <v>1166</v>
      </c>
      <c r="BV1535" t="s">
        <v>86</v>
      </c>
      <c r="BY1535">
        <v>8816</v>
      </c>
      <c r="CA1535" t="s">
        <v>166</v>
      </c>
      <c r="CC1535" t="s">
        <v>80</v>
      </c>
      <c r="CD1535">
        <v>1600</v>
      </c>
      <c r="CE1535" t="s">
        <v>191</v>
      </c>
      <c r="CF1535" s="3">
        <v>45946</v>
      </c>
      <c r="CI1535">
        <v>1</v>
      </c>
      <c r="CJ1535">
        <v>1</v>
      </c>
      <c r="CK1535">
        <v>32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"080068514421"</f>
        <v>080068514421</v>
      </c>
      <c r="F1536" s="3">
        <v>45944</v>
      </c>
      <c r="G1536">
        <v>202607</v>
      </c>
      <c r="H1536" t="s">
        <v>79</v>
      </c>
      <c r="I1536" t="s">
        <v>80</v>
      </c>
      <c r="J1536" t="s">
        <v>91</v>
      </c>
      <c r="K1536" t="s">
        <v>78</v>
      </c>
      <c r="L1536" t="s">
        <v>168</v>
      </c>
      <c r="M1536" t="s">
        <v>169</v>
      </c>
      <c r="N1536" t="s">
        <v>778</v>
      </c>
      <c r="O1536" t="s">
        <v>82</v>
      </c>
      <c r="P1536" t="str">
        <f>"4170064143                    "</f>
        <v xml:space="preserve">4170064143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22.36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70.959999999999994</v>
      </c>
      <c r="BM1536">
        <v>10.64</v>
      </c>
      <c r="BN1536">
        <v>81.599999999999994</v>
      </c>
      <c r="BO1536">
        <v>81.599999999999994</v>
      </c>
      <c r="BQ1536" t="s">
        <v>779</v>
      </c>
      <c r="BR1536" t="s">
        <v>97</v>
      </c>
      <c r="BS1536" s="3">
        <v>45945</v>
      </c>
      <c r="BT1536" s="4">
        <v>0.37708333333333333</v>
      </c>
      <c r="BU1536" t="s">
        <v>2308</v>
      </c>
      <c r="BV1536" t="s">
        <v>86</v>
      </c>
      <c r="BY1536">
        <v>1200</v>
      </c>
      <c r="CA1536">
        <v>8303236124087</v>
      </c>
      <c r="CC1536" t="s">
        <v>169</v>
      </c>
      <c r="CD1536" s="5" t="s">
        <v>190</v>
      </c>
      <c r="CE1536" t="s">
        <v>147</v>
      </c>
      <c r="CF1536" s="3">
        <v>45945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"080068514463"</f>
        <v>080068514463</v>
      </c>
      <c r="F1537" s="3">
        <v>45944</v>
      </c>
      <c r="G1537">
        <v>202607</v>
      </c>
      <c r="H1537" t="s">
        <v>79</v>
      </c>
      <c r="I1537" t="s">
        <v>80</v>
      </c>
      <c r="J1537" t="s">
        <v>91</v>
      </c>
      <c r="K1537" t="s">
        <v>78</v>
      </c>
      <c r="L1537" t="s">
        <v>79</v>
      </c>
      <c r="M1537" t="s">
        <v>80</v>
      </c>
      <c r="N1537" t="s">
        <v>2309</v>
      </c>
      <c r="O1537" t="s">
        <v>82</v>
      </c>
      <c r="P1537" t="str">
        <f>"4170064225                    "</f>
        <v xml:space="preserve">4170064225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17.46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3</v>
      </c>
      <c r="BJ1537">
        <v>3.2</v>
      </c>
      <c r="BK1537">
        <v>4</v>
      </c>
      <c r="BL1537">
        <v>55.42</v>
      </c>
      <c r="BM1537">
        <v>8.31</v>
      </c>
      <c r="BN1537">
        <v>63.73</v>
      </c>
      <c r="BO1537">
        <v>63.73</v>
      </c>
      <c r="BQ1537" t="s">
        <v>2310</v>
      </c>
      <c r="BR1537" t="s">
        <v>97</v>
      </c>
      <c r="BS1537" s="3">
        <v>45945</v>
      </c>
      <c r="BT1537" s="4">
        <v>0.3347222222222222</v>
      </c>
      <c r="BU1537" t="s">
        <v>2311</v>
      </c>
      <c r="BV1537" t="s">
        <v>86</v>
      </c>
      <c r="BY1537">
        <v>16184</v>
      </c>
      <c r="CA1537" t="s">
        <v>631</v>
      </c>
      <c r="CC1537" t="s">
        <v>80</v>
      </c>
      <c r="CD1537">
        <v>1600</v>
      </c>
      <c r="CE1537" t="s">
        <v>107</v>
      </c>
      <c r="CF1537" s="3">
        <v>45945</v>
      </c>
      <c r="CI1537">
        <v>1</v>
      </c>
      <c r="CJ1537">
        <v>1</v>
      </c>
      <c r="CK1537">
        <v>22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"080068514653"</f>
        <v>080068514653</v>
      </c>
      <c r="F1538" s="3">
        <v>45944</v>
      </c>
      <c r="G1538">
        <v>202607</v>
      </c>
      <c r="H1538" t="s">
        <v>79</v>
      </c>
      <c r="I1538" t="s">
        <v>80</v>
      </c>
      <c r="J1538" t="s">
        <v>91</v>
      </c>
      <c r="K1538" t="s">
        <v>78</v>
      </c>
      <c r="L1538" t="s">
        <v>959</v>
      </c>
      <c r="M1538" t="s">
        <v>960</v>
      </c>
      <c r="N1538" t="s">
        <v>961</v>
      </c>
      <c r="O1538" t="s">
        <v>82</v>
      </c>
      <c r="P1538" t="str">
        <f>"4170064273                    "</f>
        <v xml:space="preserve">4170064273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141.11000000000001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6</v>
      </c>
      <c r="BJ1538">
        <v>6.7</v>
      </c>
      <c r="BK1538">
        <v>7</v>
      </c>
      <c r="BL1538">
        <v>447.87</v>
      </c>
      <c r="BM1538">
        <v>67.180000000000007</v>
      </c>
      <c r="BN1538">
        <v>515.04999999999995</v>
      </c>
      <c r="BO1538">
        <v>515.04999999999995</v>
      </c>
      <c r="BQ1538" t="s">
        <v>962</v>
      </c>
      <c r="BR1538" t="s">
        <v>97</v>
      </c>
      <c r="BS1538" s="3">
        <v>45945</v>
      </c>
      <c r="BT1538" s="4">
        <v>0.51527777777777772</v>
      </c>
      <c r="BU1538" t="s">
        <v>304</v>
      </c>
      <c r="BV1538" t="s">
        <v>86</v>
      </c>
      <c r="BY1538">
        <v>33600</v>
      </c>
      <c r="CA1538" t="s">
        <v>1125</v>
      </c>
      <c r="CC1538" t="s">
        <v>960</v>
      </c>
      <c r="CD1538">
        <v>6300</v>
      </c>
      <c r="CE1538" t="s">
        <v>191</v>
      </c>
      <c r="CF1538" s="3">
        <v>45945</v>
      </c>
      <c r="CI1538">
        <v>2</v>
      </c>
      <c r="CJ1538">
        <v>1</v>
      </c>
      <c r="CK1538">
        <v>23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"080068514702"</f>
        <v>080068514702</v>
      </c>
      <c r="F1539" s="3">
        <v>45944</v>
      </c>
      <c r="G1539">
        <v>202607</v>
      </c>
      <c r="H1539" t="s">
        <v>79</v>
      </c>
      <c r="I1539" t="s">
        <v>80</v>
      </c>
      <c r="J1539" t="s">
        <v>91</v>
      </c>
      <c r="K1539" t="s">
        <v>78</v>
      </c>
      <c r="L1539" t="s">
        <v>306</v>
      </c>
      <c r="M1539" t="s">
        <v>307</v>
      </c>
      <c r="N1539" t="s">
        <v>335</v>
      </c>
      <c r="O1539" t="s">
        <v>82</v>
      </c>
      <c r="P1539" t="str">
        <f>"4170064257                    "</f>
        <v xml:space="preserve">4170064257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22.36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70.959999999999994</v>
      </c>
      <c r="BM1539">
        <v>10.64</v>
      </c>
      <c r="BN1539">
        <v>81.599999999999994</v>
      </c>
      <c r="BO1539">
        <v>81.599999999999994</v>
      </c>
      <c r="BQ1539" t="s">
        <v>475</v>
      </c>
      <c r="BR1539" t="s">
        <v>97</v>
      </c>
      <c r="BS1539" s="3">
        <v>45945</v>
      </c>
      <c r="BT1539" s="4">
        <v>0.55555555555555558</v>
      </c>
      <c r="BU1539" t="s">
        <v>2312</v>
      </c>
      <c r="BV1539" t="s">
        <v>90</v>
      </c>
      <c r="BW1539" t="s">
        <v>136</v>
      </c>
      <c r="BX1539" t="s">
        <v>858</v>
      </c>
      <c r="BY1539">
        <v>1200</v>
      </c>
      <c r="CA1539" t="s">
        <v>146</v>
      </c>
      <c r="CC1539" t="s">
        <v>307</v>
      </c>
      <c r="CD1539">
        <v>4133</v>
      </c>
      <c r="CE1539" t="s">
        <v>147</v>
      </c>
      <c r="CF1539" s="3">
        <v>45946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"080068514923"</f>
        <v>080068514923</v>
      </c>
      <c r="F1540" s="3">
        <v>45944</v>
      </c>
      <c r="G1540">
        <v>202607</v>
      </c>
      <c r="H1540" t="s">
        <v>79</v>
      </c>
      <c r="I1540" t="s">
        <v>80</v>
      </c>
      <c r="J1540" t="s">
        <v>91</v>
      </c>
      <c r="K1540" t="s">
        <v>78</v>
      </c>
      <c r="L1540" t="s">
        <v>79</v>
      </c>
      <c r="M1540" t="s">
        <v>80</v>
      </c>
      <c r="N1540" t="s">
        <v>1482</v>
      </c>
      <c r="O1540" t="s">
        <v>82</v>
      </c>
      <c r="P1540" t="str">
        <f>"4170064221                    "</f>
        <v xml:space="preserve">4170064221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17.46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4</v>
      </c>
      <c r="BJ1540">
        <v>1.1000000000000001</v>
      </c>
      <c r="BK1540">
        <v>4</v>
      </c>
      <c r="BL1540">
        <v>55.42</v>
      </c>
      <c r="BM1540">
        <v>8.31</v>
      </c>
      <c r="BN1540">
        <v>63.73</v>
      </c>
      <c r="BO1540">
        <v>63.73</v>
      </c>
      <c r="BQ1540" t="s">
        <v>1483</v>
      </c>
      <c r="BR1540" t="s">
        <v>97</v>
      </c>
      <c r="BS1540" s="3">
        <v>45945</v>
      </c>
      <c r="BT1540" s="4">
        <v>0.4375</v>
      </c>
      <c r="BU1540" t="s">
        <v>2313</v>
      </c>
      <c r="BV1540" t="s">
        <v>86</v>
      </c>
      <c r="BY1540">
        <v>5320</v>
      </c>
      <c r="CC1540" t="s">
        <v>80</v>
      </c>
      <c r="CD1540">
        <v>1609</v>
      </c>
      <c r="CE1540" t="s">
        <v>191</v>
      </c>
      <c r="CF1540" s="3">
        <v>45946</v>
      </c>
      <c r="CI1540">
        <v>1</v>
      </c>
      <c r="CJ1540">
        <v>1</v>
      </c>
      <c r="CK1540">
        <v>22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"080068514958"</f>
        <v>080068514958</v>
      </c>
      <c r="F1541" s="3">
        <v>45944</v>
      </c>
      <c r="G1541">
        <v>202607</v>
      </c>
      <c r="H1541" t="s">
        <v>79</v>
      </c>
      <c r="I1541" t="s">
        <v>80</v>
      </c>
      <c r="J1541" t="s">
        <v>91</v>
      </c>
      <c r="K1541" t="s">
        <v>78</v>
      </c>
      <c r="L1541" t="s">
        <v>168</v>
      </c>
      <c r="M1541" t="s">
        <v>169</v>
      </c>
      <c r="N1541" t="s">
        <v>170</v>
      </c>
      <c r="O1541" t="s">
        <v>82</v>
      </c>
      <c r="P1541" t="str">
        <f>"4170064248                    "</f>
        <v xml:space="preserve">4170064248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33.520000000000003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3</v>
      </c>
      <c r="BJ1541">
        <v>1.5</v>
      </c>
      <c r="BK1541">
        <v>3</v>
      </c>
      <c r="BL1541">
        <v>106.4</v>
      </c>
      <c r="BM1541">
        <v>15.96</v>
      </c>
      <c r="BN1541">
        <v>122.36</v>
      </c>
      <c r="BO1541">
        <v>122.36</v>
      </c>
      <c r="BQ1541" t="s">
        <v>171</v>
      </c>
      <c r="BR1541" t="s">
        <v>97</v>
      </c>
      <c r="BS1541" s="3">
        <v>45945</v>
      </c>
      <c r="BT1541" s="4">
        <v>0.32708333333333334</v>
      </c>
      <c r="BU1541" t="s">
        <v>332</v>
      </c>
      <c r="BV1541" t="s">
        <v>86</v>
      </c>
      <c r="BY1541">
        <v>7540</v>
      </c>
      <c r="CA1541">
        <v>7712195338085</v>
      </c>
      <c r="CC1541" t="s">
        <v>169</v>
      </c>
      <c r="CD1541" s="5" t="s">
        <v>173</v>
      </c>
      <c r="CE1541" t="s">
        <v>191</v>
      </c>
      <c r="CF1541" s="3">
        <v>45945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"080068514960"</f>
        <v>080068514960</v>
      </c>
      <c r="F1542" s="3">
        <v>45944</v>
      </c>
      <c r="G1542">
        <v>202607</v>
      </c>
      <c r="H1542" t="s">
        <v>79</v>
      </c>
      <c r="I1542" t="s">
        <v>80</v>
      </c>
      <c r="J1542" t="s">
        <v>91</v>
      </c>
      <c r="K1542" t="s">
        <v>78</v>
      </c>
      <c r="L1542" t="s">
        <v>884</v>
      </c>
      <c r="M1542" t="s">
        <v>885</v>
      </c>
      <c r="N1542" t="s">
        <v>886</v>
      </c>
      <c r="O1542" t="s">
        <v>95</v>
      </c>
      <c r="P1542" t="str">
        <f>"4170064266                    "</f>
        <v xml:space="preserve">4170064266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76.540000000000006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5</v>
      </c>
      <c r="BJ1542">
        <v>19.2</v>
      </c>
      <c r="BK1542">
        <v>20</v>
      </c>
      <c r="BL1542">
        <v>248.81</v>
      </c>
      <c r="BM1542">
        <v>37.32</v>
      </c>
      <c r="BN1542">
        <v>286.13</v>
      </c>
      <c r="BO1542">
        <v>286.13</v>
      </c>
      <c r="BQ1542" t="s">
        <v>887</v>
      </c>
      <c r="BR1542" t="s">
        <v>97</v>
      </c>
      <c r="BS1542" s="3">
        <v>45945</v>
      </c>
      <c r="BT1542" s="4">
        <v>0.30555555555555558</v>
      </c>
      <c r="BU1542" t="s">
        <v>888</v>
      </c>
      <c r="BV1542" t="s">
        <v>86</v>
      </c>
      <c r="BY1542">
        <v>95760</v>
      </c>
      <c r="CC1542" t="s">
        <v>885</v>
      </c>
      <c r="CD1542">
        <v>2740</v>
      </c>
      <c r="CE1542" t="s">
        <v>2314</v>
      </c>
      <c r="CF1542" s="3">
        <v>45946</v>
      </c>
      <c r="CI1542">
        <v>1</v>
      </c>
      <c r="CJ1542">
        <v>1</v>
      </c>
      <c r="CK1542">
        <v>43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"080068515026"</f>
        <v>080068515026</v>
      </c>
      <c r="F1543" s="3">
        <v>45944</v>
      </c>
      <c r="G1543">
        <v>202607</v>
      </c>
      <c r="H1543" t="s">
        <v>79</v>
      </c>
      <c r="I1543" t="s">
        <v>80</v>
      </c>
      <c r="J1543" t="s">
        <v>91</v>
      </c>
      <c r="K1543" t="s">
        <v>78</v>
      </c>
      <c r="L1543" t="s">
        <v>206</v>
      </c>
      <c r="M1543" t="s">
        <v>207</v>
      </c>
      <c r="N1543" t="s">
        <v>656</v>
      </c>
      <c r="O1543" t="s">
        <v>82</v>
      </c>
      <c r="P1543" t="str">
        <f>"4170064224                    "</f>
        <v xml:space="preserve">4170064224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22.36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0.9</v>
      </c>
      <c r="BK1543">
        <v>1</v>
      </c>
      <c r="BL1543">
        <v>70.959999999999994</v>
      </c>
      <c r="BM1543">
        <v>10.64</v>
      </c>
      <c r="BN1543">
        <v>81.599999999999994</v>
      </c>
      <c r="BO1543">
        <v>81.599999999999994</v>
      </c>
      <c r="BQ1543" t="s">
        <v>657</v>
      </c>
      <c r="BR1543" t="s">
        <v>97</v>
      </c>
      <c r="BS1543" s="3">
        <v>45945</v>
      </c>
      <c r="BT1543" s="4">
        <v>0.41666666666666669</v>
      </c>
      <c r="BU1543" t="s">
        <v>658</v>
      </c>
      <c r="BV1543" t="s">
        <v>86</v>
      </c>
      <c r="BY1543">
        <v>4680</v>
      </c>
      <c r="CA1543" t="s">
        <v>211</v>
      </c>
      <c r="CC1543" t="s">
        <v>207</v>
      </c>
      <c r="CD1543">
        <v>7441</v>
      </c>
      <c r="CE1543" t="s">
        <v>191</v>
      </c>
      <c r="CF1543" s="3">
        <v>45946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"080068515131"</f>
        <v>080068515131</v>
      </c>
      <c r="F1544" s="3">
        <v>45944</v>
      </c>
      <c r="G1544">
        <v>202607</v>
      </c>
      <c r="H1544" t="s">
        <v>79</v>
      </c>
      <c r="I1544" t="s">
        <v>80</v>
      </c>
      <c r="J1544" t="s">
        <v>91</v>
      </c>
      <c r="K1544" t="s">
        <v>78</v>
      </c>
      <c r="L1544" t="s">
        <v>239</v>
      </c>
      <c r="M1544" t="s">
        <v>240</v>
      </c>
      <c r="N1544" t="s">
        <v>526</v>
      </c>
      <c r="O1544" t="s">
        <v>95</v>
      </c>
      <c r="P1544" t="str">
        <f>"4170064267                    "</f>
        <v xml:space="preserve">4170064267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64.09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12</v>
      </c>
      <c r="BJ1544">
        <v>16</v>
      </c>
      <c r="BK1544">
        <v>16</v>
      </c>
      <c r="BL1544">
        <v>209.28</v>
      </c>
      <c r="BM1544">
        <v>31.39</v>
      </c>
      <c r="BN1544">
        <v>240.67</v>
      </c>
      <c r="BO1544">
        <v>240.67</v>
      </c>
      <c r="BQ1544" t="s">
        <v>527</v>
      </c>
      <c r="BR1544" t="s">
        <v>97</v>
      </c>
      <c r="BS1544" s="3">
        <v>45945</v>
      </c>
      <c r="BT1544" s="4">
        <v>0.49236111111111114</v>
      </c>
      <c r="BU1544" t="s">
        <v>2315</v>
      </c>
      <c r="BV1544" t="s">
        <v>86</v>
      </c>
      <c r="BY1544">
        <v>80199</v>
      </c>
      <c r="CA1544" t="s">
        <v>529</v>
      </c>
      <c r="CC1544" t="s">
        <v>240</v>
      </c>
      <c r="CD1544" s="5" t="s">
        <v>245</v>
      </c>
      <c r="CE1544" t="s">
        <v>2316</v>
      </c>
      <c r="CF1544" s="3">
        <v>45946</v>
      </c>
      <c r="CI1544">
        <v>1</v>
      </c>
      <c r="CJ1544">
        <v>1</v>
      </c>
      <c r="CK1544">
        <v>43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"080068515141"</f>
        <v>080068515141</v>
      </c>
      <c r="F1545" s="3">
        <v>45944</v>
      </c>
      <c r="G1545">
        <v>202607</v>
      </c>
      <c r="H1545" t="s">
        <v>79</v>
      </c>
      <c r="I1545" t="s">
        <v>80</v>
      </c>
      <c r="J1545" t="s">
        <v>91</v>
      </c>
      <c r="K1545" t="s">
        <v>78</v>
      </c>
      <c r="L1545" t="s">
        <v>79</v>
      </c>
      <c r="M1545" t="s">
        <v>80</v>
      </c>
      <c r="N1545" t="s">
        <v>577</v>
      </c>
      <c r="O1545" t="s">
        <v>95</v>
      </c>
      <c r="P1545" t="str">
        <f>"4170064253                    "</f>
        <v xml:space="preserve">4170064253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67.489999999999995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2</v>
      </c>
      <c r="BI1545">
        <v>22</v>
      </c>
      <c r="BJ1545">
        <v>49.8</v>
      </c>
      <c r="BK1545">
        <v>50</v>
      </c>
      <c r="BL1545">
        <v>220.08</v>
      </c>
      <c r="BM1545">
        <v>33.01</v>
      </c>
      <c r="BN1545">
        <v>253.09</v>
      </c>
      <c r="BO1545">
        <v>253.09</v>
      </c>
      <c r="BQ1545" t="s">
        <v>578</v>
      </c>
      <c r="BR1545" t="s">
        <v>97</v>
      </c>
      <c r="BS1545" s="3">
        <v>45945</v>
      </c>
      <c r="BT1545" s="4">
        <v>0.44444444444444442</v>
      </c>
      <c r="BU1545" t="s">
        <v>1536</v>
      </c>
      <c r="BV1545" t="s">
        <v>86</v>
      </c>
      <c r="BY1545">
        <v>249184</v>
      </c>
      <c r="CA1545" t="s">
        <v>580</v>
      </c>
      <c r="CC1545" t="s">
        <v>80</v>
      </c>
      <c r="CD1545">
        <v>1619</v>
      </c>
      <c r="CE1545" t="s">
        <v>191</v>
      </c>
      <c r="CF1545" s="3">
        <v>45945</v>
      </c>
      <c r="CI1545">
        <v>1</v>
      </c>
      <c r="CJ1545">
        <v>1</v>
      </c>
      <c r="CK1545">
        <v>42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"080068515163"</f>
        <v>080068515163</v>
      </c>
      <c r="F1546" s="3">
        <v>45944</v>
      </c>
      <c r="G1546">
        <v>202607</v>
      </c>
      <c r="H1546" t="s">
        <v>79</v>
      </c>
      <c r="I1546" t="s">
        <v>80</v>
      </c>
      <c r="J1546" t="s">
        <v>91</v>
      </c>
      <c r="K1546" t="s">
        <v>78</v>
      </c>
      <c r="L1546" t="s">
        <v>233</v>
      </c>
      <c r="M1546" t="s">
        <v>234</v>
      </c>
      <c r="N1546" t="s">
        <v>1066</v>
      </c>
      <c r="O1546" t="s">
        <v>82</v>
      </c>
      <c r="P1546" t="str">
        <f>"4170064258                    "</f>
        <v xml:space="preserve">4170064258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22.36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1.4</v>
      </c>
      <c r="BK1546">
        <v>1.5</v>
      </c>
      <c r="BL1546">
        <v>70.959999999999994</v>
      </c>
      <c r="BM1546">
        <v>10.64</v>
      </c>
      <c r="BN1546">
        <v>81.599999999999994</v>
      </c>
      <c r="BO1546">
        <v>81.599999999999994</v>
      </c>
      <c r="BQ1546" t="s">
        <v>1067</v>
      </c>
      <c r="BR1546" t="s">
        <v>97</v>
      </c>
      <c r="BS1546" s="3">
        <v>45945</v>
      </c>
      <c r="BT1546" s="4">
        <v>0.39444444444444443</v>
      </c>
      <c r="BU1546" t="s">
        <v>1068</v>
      </c>
      <c r="BV1546" t="s">
        <v>86</v>
      </c>
      <c r="BY1546">
        <v>7000</v>
      </c>
      <c r="CA1546">
        <v>7104145194083</v>
      </c>
      <c r="CC1546" t="s">
        <v>234</v>
      </c>
      <c r="CD1546" s="5" t="s">
        <v>238</v>
      </c>
      <c r="CE1546" t="s">
        <v>191</v>
      </c>
      <c r="CF1546" s="3">
        <v>45945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"080068515208"</f>
        <v>080068515208</v>
      </c>
      <c r="F1547" s="3">
        <v>45944</v>
      </c>
      <c r="G1547">
        <v>202607</v>
      </c>
      <c r="H1547" t="s">
        <v>79</v>
      </c>
      <c r="I1547" t="s">
        <v>80</v>
      </c>
      <c r="J1547" t="s">
        <v>91</v>
      </c>
      <c r="K1547" t="s">
        <v>78</v>
      </c>
      <c r="L1547" t="s">
        <v>108</v>
      </c>
      <c r="M1547" t="s">
        <v>109</v>
      </c>
      <c r="N1547" t="s">
        <v>110</v>
      </c>
      <c r="O1547" t="s">
        <v>82</v>
      </c>
      <c r="P1547" t="str">
        <f>"4170064254                    "</f>
        <v xml:space="preserve">4170064254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22.36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70.959999999999994</v>
      </c>
      <c r="BM1547">
        <v>10.64</v>
      </c>
      <c r="BN1547">
        <v>81.599999999999994</v>
      </c>
      <c r="BO1547">
        <v>81.599999999999994</v>
      </c>
      <c r="BQ1547" t="s">
        <v>111</v>
      </c>
      <c r="BR1547" t="s">
        <v>97</v>
      </c>
      <c r="BS1547" s="3">
        <v>45945</v>
      </c>
      <c r="BT1547" s="4">
        <v>0.34444444444444444</v>
      </c>
      <c r="BU1547" t="s">
        <v>112</v>
      </c>
      <c r="BV1547" t="s">
        <v>86</v>
      </c>
      <c r="BY1547">
        <v>1200</v>
      </c>
      <c r="CA1547" t="s">
        <v>113</v>
      </c>
      <c r="CC1547" t="s">
        <v>109</v>
      </c>
      <c r="CD1547">
        <v>6045</v>
      </c>
      <c r="CE1547" t="s">
        <v>147</v>
      </c>
      <c r="CF1547" s="3">
        <v>45945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"080068515238"</f>
        <v>080068515238</v>
      </c>
      <c r="F1548" s="3">
        <v>45944</v>
      </c>
      <c r="G1548">
        <v>202607</v>
      </c>
      <c r="H1548" t="s">
        <v>79</v>
      </c>
      <c r="I1548" t="s">
        <v>80</v>
      </c>
      <c r="J1548" t="s">
        <v>91</v>
      </c>
      <c r="K1548" t="s">
        <v>78</v>
      </c>
      <c r="L1548" t="s">
        <v>114</v>
      </c>
      <c r="M1548" t="s">
        <v>115</v>
      </c>
      <c r="N1548" t="s">
        <v>746</v>
      </c>
      <c r="O1548" t="s">
        <v>82</v>
      </c>
      <c r="P1548" t="str">
        <f>"4170064252                    "</f>
        <v xml:space="preserve">4170064252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22.36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70.959999999999994</v>
      </c>
      <c r="BM1548">
        <v>10.64</v>
      </c>
      <c r="BN1548">
        <v>81.599999999999994</v>
      </c>
      <c r="BO1548">
        <v>81.599999999999994</v>
      </c>
      <c r="BQ1548" t="s">
        <v>747</v>
      </c>
      <c r="BR1548" t="s">
        <v>97</v>
      </c>
      <c r="BS1548" s="3">
        <v>45945</v>
      </c>
      <c r="BT1548" s="4">
        <v>0.51875000000000004</v>
      </c>
      <c r="BU1548" t="s">
        <v>2317</v>
      </c>
      <c r="BV1548" t="s">
        <v>90</v>
      </c>
      <c r="BY1548">
        <v>1200</v>
      </c>
      <c r="CA1548" t="s">
        <v>749</v>
      </c>
      <c r="CC1548" t="s">
        <v>115</v>
      </c>
      <c r="CD1548">
        <v>5201</v>
      </c>
      <c r="CE1548" t="s">
        <v>147</v>
      </c>
      <c r="CF1548" s="3">
        <v>45946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"080068515561"</f>
        <v>080068515561</v>
      </c>
      <c r="F1549" s="3">
        <v>45944</v>
      </c>
      <c r="G1549">
        <v>202607</v>
      </c>
      <c r="H1549" t="s">
        <v>79</v>
      </c>
      <c r="I1549" t="s">
        <v>80</v>
      </c>
      <c r="J1549" t="s">
        <v>91</v>
      </c>
      <c r="K1549" t="s">
        <v>78</v>
      </c>
      <c r="L1549" t="s">
        <v>959</v>
      </c>
      <c r="M1549" t="s">
        <v>960</v>
      </c>
      <c r="N1549" t="s">
        <v>961</v>
      </c>
      <c r="O1549" t="s">
        <v>82</v>
      </c>
      <c r="P1549" t="str">
        <f>"4170064279                    "</f>
        <v xml:space="preserve">4170064279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111.77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5.2</v>
      </c>
      <c r="BK1549">
        <v>5.5</v>
      </c>
      <c r="BL1549">
        <v>354.75</v>
      </c>
      <c r="BM1549">
        <v>53.21</v>
      </c>
      <c r="BN1549">
        <v>407.96</v>
      </c>
      <c r="BO1549">
        <v>407.96</v>
      </c>
      <c r="BQ1549" t="s">
        <v>962</v>
      </c>
      <c r="BR1549" t="s">
        <v>97</v>
      </c>
      <c r="BS1549" s="3">
        <v>45945</v>
      </c>
      <c r="BT1549" s="4">
        <v>0.51527777777777772</v>
      </c>
      <c r="BU1549" t="s">
        <v>304</v>
      </c>
      <c r="BV1549" t="s">
        <v>86</v>
      </c>
      <c r="BY1549">
        <v>26013</v>
      </c>
      <c r="CA1549" t="s">
        <v>1125</v>
      </c>
      <c r="CC1549" t="s">
        <v>960</v>
      </c>
      <c r="CD1549">
        <v>6300</v>
      </c>
      <c r="CE1549" t="s">
        <v>191</v>
      </c>
      <c r="CF1549" s="3">
        <v>45945</v>
      </c>
      <c r="CI1549">
        <v>2</v>
      </c>
      <c r="CJ1549">
        <v>1</v>
      </c>
      <c r="CK1549">
        <v>23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"080068515606"</f>
        <v>080068515606</v>
      </c>
      <c r="F1550" s="3">
        <v>45944</v>
      </c>
      <c r="G1550">
        <v>202607</v>
      </c>
      <c r="H1550" t="s">
        <v>79</v>
      </c>
      <c r="I1550" t="s">
        <v>80</v>
      </c>
      <c r="J1550" t="s">
        <v>91</v>
      </c>
      <c r="K1550" t="s">
        <v>78</v>
      </c>
      <c r="L1550" t="s">
        <v>350</v>
      </c>
      <c r="M1550" t="s">
        <v>351</v>
      </c>
      <c r="N1550" t="s">
        <v>352</v>
      </c>
      <c r="O1550" t="s">
        <v>95</v>
      </c>
      <c r="P1550" t="str">
        <f>"4170064255                    "</f>
        <v xml:space="preserve">4170064255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60.97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12.6</v>
      </c>
      <c r="BJ1550">
        <v>4.8</v>
      </c>
      <c r="BK1550">
        <v>13</v>
      </c>
      <c r="BL1550">
        <v>199.39</v>
      </c>
      <c r="BM1550">
        <v>29.91</v>
      </c>
      <c r="BN1550">
        <v>229.3</v>
      </c>
      <c r="BO1550">
        <v>229.3</v>
      </c>
      <c r="BQ1550" t="s">
        <v>353</v>
      </c>
      <c r="BR1550" t="s">
        <v>97</v>
      </c>
      <c r="BS1550" s="3">
        <v>45945</v>
      </c>
      <c r="BT1550" s="4">
        <v>0.62986111111111109</v>
      </c>
      <c r="BU1550" t="s">
        <v>2318</v>
      </c>
      <c r="BV1550" t="s">
        <v>86</v>
      </c>
      <c r="BY1550">
        <v>24213.48</v>
      </c>
      <c r="CA1550" t="s">
        <v>355</v>
      </c>
      <c r="CC1550" t="s">
        <v>351</v>
      </c>
      <c r="CD1550" s="5" t="s">
        <v>356</v>
      </c>
      <c r="CE1550" t="s">
        <v>931</v>
      </c>
      <c r="CF1550" s="3">
        <v>45946</v>
      </c>
      <c r="CI1550">
        <v>1</v>
      </c>
      <c r="CJ1550">
        <v>1</v>
      </c>
      <c r="CK1550">
        <v>43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"080068515613"</f>
        <v>080068515613</v>
      </c>
      <c r="F1551" s="3">
        <v>45944</v>
      </c>
      <c r="G1551">
        <v>202607</v>
      </c>
      <c r="H1551" t="s">
        <v>79</v>
      </c>
      <c r="I1551" t="s">
        <v>80</v>
      </c>
      <c r="J1551" t="s">
        <v>91</v>
      </c>
      <c r="K1551" t="s">
        <v>78</v>
      </c>
      <c r="L1551" t="s">
        <v>206</v>
      </c>
      <c r="M1551" t="s">
        <v>207</v>
      </c>
      <c r="N1551" t="s">
        <v>734</v>
      </c>
      <c r="O1551" t="s">
        <v>82</v>
      </c>
      <c r="P1551" t="str">
        <f>"4170064276                    "</f>
        <v xml:space="preserve">4170064276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22.36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1.1000000000000001</v>
      </c>
      <c r="BK1551">
        <v>1.5</v>
      </c>
      <c r="BL1551">
        <v>70.959999999999994</v>
      </c>
      <c r="BM1551">
        <v>10.64</v>
      </c>
      <c r="BN1551">
        <v>81.599999999999994</v>
      </c>
      <c r="BO1551">
        <v>81.599999999999994</v>
      </c>
      <c r="BQ1551" t="s">
        <v>735</v>
      </c>
      <c r="BR1551" t="s">
        <v>97</v>
      </c>
      <c r="BS1551" s="3">
        <v>45945</v>
      </c>
      <c r="BT1551" s="4">
        <v>0.41666666666666669</v>
      </c>
      <c r="BU1551" t="s">
        <v>736</v>
      </c>
      <c r="BV1551" t="s">
        <v>86</v>
      </c>
      <c r="BY1551">
        <v>5320</v>
      </c>
      <c r="CA1551" t="s">
        <v>480</v>
      </c>
      <c r="CC1551" t="s">
        <v>207</v>
      </c>
      <c r="CD1551">
        <v>7480</v>
      </c>
      <c r="CE1551" t="s">
        <v>191</v>
      </c>
      <c r="CF1551" s="3">
        <v>45946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"080068515641"</f>
        <v>080068515641</v>
      </c>
      <c r="F1552" s="3">
        <v>45944</v>
      </c>
      <c r="G1552">
        <v>202607</v>
      </c>
      <c r="H1552" t="s">
        <v>79</v>
      </c>
      <c r="I1552" t="s">
        <v>80</v>
      </c>
      <c r="J1552" t="s">
        <v>91</v>
      </c>
      <c r="K1552" t="s">
        <v>78</v>
      </c>
      <c r="L1552" t="s">
        <v>453</v>
      </c>
      <c r="M1552" t="s">
        <v>454</v>
      </c>
      <c r="N1552" t="s">
        <v>581</v>
      </c>
      <c r="O1552" t="s">
        <v>95</v>
      </c>
      <c r="P1552" t="str">
        <f>"4170064280                    "</f>
        <v xml:space="preserve">4170064280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100.34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19</v>
      </c>
      <c r="BJ1552">
        <v>46.4</v>
      </c>
      <c r="BK1552">
        <v>47</v>
      </c>
      <c r="BL1552">
        <v>324.35000000000002</v>
      </c>
      <c r="BM1552">
        <v>48.65</v>
      </c>
      <c r="BN1552">
        <v>373</v>
      </c>
      <c r="BO1552">
        <v>373</v>
      </c>
      <c r="BQ1552" t="s">
        <v>582</v>
      </c>
      <c r="BR1552" t="s">
        <v>97</v>
      </c>
      <c r="BS1552" s="3">
        <v>45945</v>
      </c>
      <c r="BT1552" s="4">
        <v>0.5493055555555556</v>
      </c>
      <c r="BU1552" t="s">
        <v>2319</v>
      </c>
      <c r="BV1552" t="s">
        <v>86</v>
      </c>
      <c r="BY1552">
        <v>232227</v>
      </c>
      <c r="CC1552" t="s">
        <v>454</v>
      </c>
      <c r="CD1552">
        <v>3610</v>
      </c>
      <c r="CE1552" t="s">
        <v>191</v>
      </c>
      <c r="CF1552" s="3">
        <v>45945</v>
      </c>
      <c r="CI1552">
        <v>1</v>
      </c>
      <c r="CJ1552">
        <v>1</v>
      </c>
      <c r="CK1552">
        <v>41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"080068515705"</f>
        <v>080068515705</v>
      </c>
      <c r="F1553" s="3">
        <v>45944</v>
      </c>
      <c r="G1553">
        <v>202607</v>
      </c>
      <c r="H1553" t="s">
        <v>79</v>
      </c>
      <c r="I1553" t="s">
        <v>80</v>
      </c>
      <c r="J1553" t="s">
        <v>91</v>
      </c>
      <c r="K1553" t="s">
        <v>78</v>
      </c>
      <c r="L1553" t="s">
        <v>1095</v>
      </c>
      <c r="M1553" t="s">
        <v>1096</v>
      </c>
      <c r="N1553" t="s">
        <v>1097</v>
      </c>
      <c r="O1553" t="s">
        <v>82</v>
      </c>
      <c r="P1553" t="str">
        <f>"4170064249                    "</f>
        <v xml:space="preserve">4170064249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43.31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1.1000000000000001</v>
      </c>
      <c r="BK1553">
        <v>1.5</v>
      </c>
      <c r="BL1553">
        <v>137.47</v>
      </c>
      <c r="BM1553">
        <v>20.62</v>
      </c>
      <c r="BN1553">
        <v>158.09</v>
      </c>
      <c r="BO1553">
        <v>158.09</v>
      </c>
      <c r="BQ1553" t="s">
        <v>1098</v>
      </c>
      <c r="BR1553" t="s">
        <v>97</v>
      </c>
      <c r="BS1553" s="3">
        <v>45945</v>
      </c>
      <c r="BT1553" s="4">
        <v>0.40833333333333333</v>
      </c>
      <c r="BU1553" t="s">
        <v>2320</v>
      </c>
      <c r="BV1553" t="s">
        <v>86</v>
      </c>
      <c r="BY1553">
        <v>5320</v>
      </c>
      <c r="CA1553" t="s">
        <v>1099</v>
      </c>
      <c r="CC1553" t="s">
        <v>1096</v>
      </c>
      <c r="CD1553">
        <v>2302</v>
      </c>
      <c r="CE1553" t="s">
        <v>191</v>
      </c>
      <c r="CF1553" s="3">
        <v>45945</v>
      </c>
      <c r="CI1553">
        <v>1</v>
      </c>
      <c r="CJ1553">
        <v>1</v>
      </c>
      <c r="CK1553">
        <v>23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"080068515711"</f>
        <v>080068515711</v>
      </c>
      <c r="F1554" s="3">
        <v>45944</v>
      </c>
      <c r="G1554">
        <v>202607</v>
      </c>
      <c r="H1554" t="s">
        <v>79</v>
      </c>
      <c r="I1554" t="s">
        <v>80</v>
      </c>
      <c r="J1554" t="s">
        <v>91</v>
      </c>
      <c r="K1554" t="s">
        <v>78</v>
      </c>
      <c r="L1554" t="s">
        <v>590</v>
      </c>
      <c r="M1554" t="s">
        <v>591</v>
      </c>
      <c r="N1554" t="s">
        <v>592</v>
      </c>
      <c r="O1554" t="s">
        <v>82</v>
      </c>
      <c r="P1554" t="str">
        <f>"4170064246                    "</f>
        <v xml:space="preserve">4170064246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82.43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4</v>
      </c>
      <c r="BJ1554">
        <v>1.4</v>
      </c>
      <c r="BK1554">
        <v>4</v>
      </c>
      <c r="BL1554">
        <v>261.63</v>
      </c>
      <c r="BM1554">
        <v>39.24</v>
      </c>
      <c r="BN1554">
        <v>300.87</v>
      </c>
      <c r="BO1554">
        <v>300.87</v>
      </c>
      <c r="BQ1554" t="s">
        <v>593</v>
      </c>
      <c r="BR1554" t="s">
        <v>97</v>
      </c>
      <c r="BS1554" s="3">
        <v>45945</v>
      </c>
      <c r="BT1554" s="4">
        <v>0.43333333333333335</v>
      </c>
      <c r="BU1554" t="s">
        <v>258</v>
      </c>
      <c r="BV1554" t="s">
        <v>86</v>
      </c>
      <c r="BY1554">
        <v>7000</v>
      </c>
      <c r="CA1554" t="s">
        <v>2321</v>
      </c>
      <c r="CC1554" t="s">
        <v>591</v>
      </c>
      <c r="CD1554">
        <v>5257</v>
      </c>
      <c r="CE1554" t="s">
        <v>107</v>
      </c>
      <c r="CF1554" s="3">
        <v>45946</v>
      </c>
      <c r="CI1554">
        <v>1</v>
      </c>
      <c r="CJ1554">
        <v>1</v>
      </c>
      <c r="CK1554">
        <v>23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"080068515730"</f>
        <v>080068515730</v>
      </c>
      <c r="F1555" s="3">
        <v>45944</v>
      </c>
      <c r="G1555">
        <v>202607</v>
      </c>
      <c r="H1555" t="s">
        <v>79</v>
      </c>
      <c r="I1555" t="s">
        <v>80</v>
      </c>
      <c r="J1555" t="s">
        <v>91</v>
      </c>
      <c r="K1555" t="s">
        <v>78</v>
      </c>
      <c r="L1555" t="s">
        <v>233</v>
      </c>
      <c r="M1555" t="s">
        <v>234</v>
      </c>
      <c r="N1555" t="s">
        <v>1066</v>
      </c>
      <c r="O1555" t="s">
        <v>82</v>
      </c>
      <c r="P1555" t="str">
        <f>"4170064260                    "</f>
        <v xml:space="preserve">4170064260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22.36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</v>
      </c>
      <c r="BJ1555">
        <v>1.1000000000000001</v>
      </c>
      <c r="BK1555">
        <v>2</v>
      </c>
      <c r="BL1555">
        <v>70.959999999999994</v>
      </c>
      <c r="BM1555">
        <v>10.64</v>
      </c>
      <c r="BN1555">
        <v>81.599999999999994</v>
      </c>
      <c r="BO1555">
        <v>81.599999999999994</v>
      </c>
      <c r="BQ1555" t="s">
        <v>1067</v>
      </c>
      <c r="BR1555" t="s">
        <v>97</v>
      </c>
      <c r="BS1555" s="3">
        <v>45945</v>
      </c>
      <c r="BT1555" s="4">
        <v>0.39374999999999999</v>
      </c>
      <c r="BU1555" t="s">
        <v>1068</v>
      </c>
      <c r="BV1555" t="s">
        <v>86</v>
      </c>
      <c r="BY1555">
        <v>5320</v>
      </c>
      <c r="CA1555">
        <v>7104145194083</v>
      </c>
      <c r="CC1555" t="s">
        <v>234</v>
      </c>
      <c r="CD1555" s="5" t="s">
        <v>238</v>
      </c>
      <c r="CE1555" t="s">
        <v>191</v>
      </c>
      <c r="CF1555" s="3">
        <v>45945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"080068515765"</f>
        <v>080068515765</v>
      </c>
      <c r="F1556" s="3">
        <v>45944</v>
      </c>
      <c r="G1556">
        <v>202607</v>
      </c>
      <c r="H1556" t="s">
        <v>79</v>
      </c>
      <c r="I1556" t="s">
        <v>80</v>
      </c>
      <c r="J1556" t="s">
        <v>91</v>
      </c>
      <c r="K1556" t="s">
        <v>78</v>
      </c>
      <c r="L1556" t="s">
        <v>206</v>
      </c>
      <c r="M1556" t="s">
        <v>207</v>
      </c>
      <c r="N1556" t="s">
        <v>427</v>
      </c>
      <c r="O1556" t="s">
        <v>82</v>
      </c>
      <c r="P1556" t="str">
        <f>"4170064160                    "</f>
        <v xml:space="preserve">4170064160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22.36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70.959999999999994</v>
      </c>
      <c r="BM1556">
        <v>10.64</v>
      </c>
      <c r="BN1556">
        <v>81.599999999999994</v>
      </c>
      <c r="BO1556">
        <v>81.599999999999994</v>
      </c>
      <c r="BQ1556" t="s">
        <v>428</v>
      </c>
      <c r="BR1556" t="s">
        <v>97</v>
      </c>
      <c r="BS1556" s="3">
        <v>45945</v>
      </c>
      <c r="BT1556" s="4">
        <v>0.33819444444444446</v>
      </c>
      <c r="BU1556" t="s">
        <v>1832</v>
      </c>
      <c r="BV1556" t="s">
        <v>86</v>
      </c>
      <c r="BY1556">
        <v>1200</v>
      </c>
      <c r="CA1556" t="s">
        <v>423</v>
      </c>
      <c r="CC1556" t="s">
        <v>207</v>
      </c>
      <c r="CD1556">
        <v>7530</v>
      </c>
      <c r="CE1556" t="s">
        <v>147</v>
      </c>
      <c r="CF1556" s="3">
        <v>45946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"080068515780"</f>
        <v>080068515780</v>
      </c>
      <c r="F1557" s="3">
        <v>45944</v>
      </c>
      <c r="G1557">
        <v>202607</v>
      </c>
      <c r="H1557" t="s">
        <v>79</v>
      </c>
      <c r="I1557" t="s">
        <v>80</v>
      </c>
      <c r="J1557" t="s">
        <v>91</v>
      </c>
      <c r="K1557" t="s">
        <v>78</v>
      </c>
      <c r="L1557" t="s">
        <v>79</v>
      </c>
      <c r="M1557" t="s">
        <v>80</v>
      </c>
      <c r="N1557" t="s">
        <v>203</v>
      </c>
      <c r="O1557" t="s">
        <v>226</v>
      </c>
      <c r="P1557" t="str">
        <f>"4170064270                    "</f>
        <v xml:space="preserve">4170064270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17.47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7</v>
      </c>
      <c r="BJ1557">
        <v>7.6</v>
      </c>
      <c r="BK1557">
        <v>8</v>
      </c>
      <c r="BL1557">
        <v>55.44</v>
      </c>
      <c r="BM1557">
        <v>8.32</v>
      </c>
      <c r="BN1557">
        <v>63.76</v>
      </c>
      <c r="BO1557">
        <v>63.76</v>
      </c>
      <c r="BQ1557" t="s">
        <v>204</v>
      </c>
      <c r="BR1557" t="s">
        <v>97</v>
      </c>
      <c r="BS1557" s="3">
        <v>45945</v>
      </c>
      <c r="BT1557" s="4">
        <v>0.39374999999999999</v>
      </c>
      <c r="BU1557" t="s">
        <v>2322</v>
      </c>
      <c r="BV1557" t="s">
        <v>86</v>
      </c>
      <c r="BY1557">
        <v>38220</v>
      </c>
      <c r="CA1557" t="s">
        <v>631</v>
      </c>
      <c r="CC1557" t="s">
        <v>80</v>
      </c>
      <c r="CD1557">
        <v>1600</v>
      </c>
      <c r="CE1557" t="s">
        <v>191</v>
      </c>
      <c r="CF1557" s="3">
        <v>45945</v>
      </c>
      <c r="CI1557">
        <v>1</v>
      </c>
      <c r="CJ1557">
        <v>1</v>
      </c>
      <c r="CK1557">
        <v>32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"080068515795"</f>
        <v>080068515795</v>
      </c>
      <c r="F1558" s="3">
        <v>45944</v>
      </c>
      <c r="G1558">
        <v>202607</v>
      </c>
      <c r="H1558" t="s">
        <v>79</v>
      </c>
      <c r="I1558" t="s">
        <v>80</v>
      </c>
      <c r="J1558" t="s">
        <v>91</v>
      </c>
      <c r="K1558" t="s">
        <v>78</v>
      </c>
      <c r="L1558" t="s">
        <v>121</v>
      </c>
      <c r="M1558" t="s">
        <v>122</v>
      </c>
      <c r="N1558" t="s">
        <v>154</v>
      </c>
      <c r="O1558" t="s">
        <v>82</v>
      </c>
      <c r="P1558" t="str">
        <f>"4170064175                    "</f>
        <v xml:space="preserve">4170064175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22.36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70.959999999999994</v>
      </c>
      <c r="BM1558">
        <v>10.64</v>
      </c>
      <c r="BN1558">
        <v>81.599999999999994</v>
      </c>
      <c r="BO1558">
        <v>81.599999999999994</v>
      </c>
      <c r="BQ1558" t="s">
        <v>155</v>
      </c>
      <c r="BR1558" t="s">
        <v>97</v>
      </c>
      <c r="BS1558" s="3">
        <v>45945</v>
      </c>
      <c r="BT1558" s="4">
        <v>0.74791666666666667</v>
      </c>
      <c r="BU1558" t="s">
        <v>2323</v>
      </c>
      <c r="BV1558" t="s">
        <v>90</v>
      </c>
      <c r="BW1558" t="s">
        <v>136</v>
      </c>
      <c r="BX1558" t="s">
        <v>858</v>
      </c>
      <c r="BY1558">
        <v>1200</v>
      </c>
      <c r="CA1558" t="s">
        <v>311</v>
      </c>
      <c r="CC1558" t="s">
        <v>122</v>
      </c>
      <c r="CD1558">
        <v>4052</v>
      </c>
      <c r="CE1558" t="s">
        <v>147</v>
      </c>
      <c r="CF1558" s="3">
        <v>45946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"080068515840"</f>
        <v>080068515840</v>
      </c>
      <c r="F1559" s="3">
        <v>45944</v>
      </c>
      <c r="G1559">
        <v>202607</v>
      </c>
      <c r="H1559" t="s">
        <v>79</v>
      </c>
      <c r="I1559" t="s">
        <v>80</v>
      </c>
      <c r="J1559" t="s">
        <v>91</v>
      </c>
      <c r="K1559" t="s">
        <v>78</v>
      </c>
      <c r="L1559" t="s">
        <v>453</v>
      </c>
      <c r="M1559" t="s">
        <v>454</v>
      </c>
      <c r="N1559" t="s">
        <v>639</v>
      </c>
      <c r="O1559" t="s">
        <v>82</v>
      </c>
      <c r="P1559" t="str">
        <f>"4170064261                    "</f>
        <v xml:space="preserve">4170064261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22.36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1.9</v>
      </c>
      <c r="BK1559">
        <v>2</v>
      </c>
      <c r="BL1559">
        <v>70.959999999999994</v>
      </c>
      <c r="BM1559">
        <v>10.64</v>
      </c>
      <c r="BN1559">
        <v>81.599999999999994</v>
      </c>
      <c r="BO1559">
        <v>81.599999999999994</v>
      </c>
      <c r="BQ1559" t="s">
        <v>640</v>
      </c>
      <c r="BR1559" t="s">
        <v>97</v>
      </c>
      <c r="BS1559" s="3">
        <v>45945</v>
      </c>
      <c r="BT1559" s="4">
        <v>0.68611111111111112</v>
      </c>
      <c r="BU1559" t="s">
        <v>2324</v>
      </c>
      <c r="BV1559" t="s">
        <v>90</v>
      </c>
      <c r="BW1559" t="s">
        <v>136</v>
      </c>
      <c r="BX1559" t="s">
        <v>858</v>
      </c>
      <c r="BY1559">
        <v>9600</v>
      </c>
      <c r="CA1559" t="s">
        <v>742</v>
      </c>
      <c r="CC1559" t="s">
        <v>454</v>
      </c>
      <c r="CD1559">
        <v>3610</v>
      </c>
      <c r="CE1559" t="s">
        <v>191</v>
      </c>
      <c r="CF1559" s="3">
        <v>45946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"080068515845"</f>
        <v>080068515845</v>
      </c>
      <c r="F1560" s="3">
        <v>45944</v>
      </c>
      <c r="G1560">
        <v>202607</v>
      </c>
      <c r="H1560" t="s">
        <v>79</v>
      </c>
      <c r="I1560" t="s">
        <v>80</v>
      </c>
      <c r="J1560" t="s">
        <v>91</v>
      </c>
      <c r="K1560" t="s">
        <v>78</v>
      </c>
      <c r="L1560" t="s">
        <v>333</v>
      </c>
      <c r="M1560" t="s">
        <v>334</v>
      </c>
      <c r="N1560" t="s">
        <v>1388</v>
      </c>
      <c r="O1560" t="s">
        <v>82</v>
      </c>
      <c r="P1560" t="str">
        <f>"4170064262                    "</f>
        <v xml:space="preserve">4170064262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22.36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70.959999999999994</v>
      </c>
      <c r="BM1560">
        <v>10.64</v>
      </c>
      <c r="BN1560">
        <v>81.599999999999994</v>
      </c>
      <c r="BO1560">
        <v>81.599999999999994</v>
      </c>
      <c r="BQ1560" t="s">
        <v>1389</v>
      </c>
      <c r="BR1560" t="s">
        <v>97</v>
      </c>
      <c r="BS1560" s="3">
        <v>45945</v>
      </c>
      <c r="BT1560" s="4">
        <v>0.43194444444444446</v>
      </c>
      <c r="BU1560" t="s">
        <v>1870</v>
      </c>
      <c r="BV1560" t="s">
        <v>86</v>
      </c>
      <c r="BY1560">
        <v>1200</v>
      </c>
      <c r="CA1560" t="s">
        <v>142</v>
      </c>
      <c r="CC1560" t="s">
        <v>334</v>
      </c>
      <c r="CD1560">
        <v>6220</v>
      </c>
      <c r="CE1560" t="s">
        <v>147</v>
      </c>
      <c r="CF1560" s="3">
        <v>45945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"080068516076"</f>
        <v>080068516076</v>
      </c>
      <c r="F1561" s="3">
        <v>45944</v>
      </c>
      <c r="G1561">
        <v>202607</v>
      </c>
      <c r="H1561" t="s">
        <v>79</v>
      </c>
      <c r="I1561" t="s">
        <v>80</v>
      </c>
      <c r="J1561" t="s">
        <v>91</v>
      </c>
      <c r="K1561" t="s">
        <v>78</v>
      </c>
      <c r="L1561" t="s">
        <v>206</v>
      </c>
      <c r="M1561" t="s">
        <v>207</v>
      </c>
      <c r="N1561" t="s">
        <v>656</v>
      </c>
      <c r="O1561" t="s">
        <v>82</v>
      </c>
      <c r="P1561" t="str">
        <f>"4170064259                    "</f>
        <v xml:space="preserve">4170064259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134.04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3</v>
      </c>
      <c r="BJ1561">
        <v>11.9</v>
      </c>
      <c r="BK1561">
        <v>12</v>
      </c>
      <c r="BL1561">
        <v>425.44</v>
      </c>
      <c r="BM1561">
        <v>63.82</v>
      </c>
      <c r="BN1561">
        <v>489.26</v>
      </c>
      <c r="BO1561">
        <v>489.26</v>
      </c>
      <c r="BQ1561" t="s">
        <v>657</v>
      </c>
      <c r="BR1561" t="s">
        <v>97</v>
      </c>
      <c r="BS1561" s="3">
        <v>45945</v>
      </c>
      <c r="BT1561" s="4">
        <v>0.41666666666666669</v>
      </c>
      <c r="BU1561" t="s">
        <v>658</v>
      </c>
      <c r="BV1561" t="s">
        <v>86</v>
      </c>
      <c r="BY1561">
        <v>59319</v>
      </c>
      <c r="CA1561" t="s">
        <v>211</v>
      </c>
      <c r="CC1561" t="s">
        <v>207</v>
      </c>
      <c r="CD1561">
        <v>7441</v>
      </c>
      <c r="CE1561" t="s">
        <v>107</v>
      </c>
      <c r="CF1561" s="3">
        <v>45946</v>
      </c>
      <c r="CI1561">
        <v>1</v>
      </c>
      <c r="CJ1561">
        <v>1</v>
      </c>
      <c r="CK1561">
        <v>21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"080068516098"</f>
        <v>080068516098</v>
      </c>
      <c r="F1562" s="3">
        <v>45944</v>
      </c>
      <c r="G1562">
        <v>202607</v>
      </c>
      <c r="H1562" t="s">
        <v>79</v>
      </c>
      <c r="I1562" t="s">
        <v>80</v>
      </c>
      <c r="J1562" t="s">
        <v>91</v>
      </c>
      <c r="K1562" t="s">
        <v>78</v>
      </c>
      <c r="L1562" t="s">
        <v>2325</v>
      </c>
      <c r="M1562" t="s">
        <v>2326</v>
      </c>
      <c r="N1562" t="s">
        <v>2327</v>
      </c>
      <c r="O1562" t="s">
        <v>82</v>
      </c>
      <c r="P1562" t="str">
        <f>"4170064256                    "</f>
        <v xml:space="preserve">4170064256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121.55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5.9</v>
      </c>
      <c r="BK1562">
        <v>6</v>
      </c>
      <c r="BL1562">
        <v>385.79</v>
      </c>
      <c r="BM1562">
        <v>57.87</v>
      </c>
      <c r="BN1562">
        <v>443.66</v>
      </c>
      <c r="BO1562">
        <v>443.66</v>
      </c>
      <c r="BQ1562" t="s">
        <v>2328</v>
      </c>
      <c r="BR1562" t="s">
        <v>97</v>
      </c>
      <c r="BS1562" s="3">
        <v>45945</v>
      </c>
      <c r="BT1562" s="4">
        <v>0.61805555555555558</v>
      </c>
      <c r="BU1562" t="s">
        <v>2329</v>
      </c>
      <c r="BV1562" t="s">
        <v>86</v>
      </c>
      <c r="BY1562">
        <v>29400</v>
      </c>
      <c r="CA1562" t="s">
        <v>2330</v>
      </c>
      <c r="CC1562" t="s">
        <v>2326</v>
      </c>
      <c r="CD1562">
        <v>4449</v>
      </c>
      <c r="CE1562" t="s">
        <v>107</v>
      </c>
      <c r="CF1562" s="3">
        <v>45946</v>
      </c>
      <c r="CI1562">
        <v>1</v>
      </c>
      <c r="CJ1562">
        <v>1</v>
      </c>
      <c r="CK1562">
        <v>23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"080068516224"</f>
        <v>080068516224</v>
      </c>
      <c r="F1563" s="3">
        <v>45944</v>
      </c>
      <c r="G1563">
        <v>202607</v>
      </c>
      <c r="H1563" t="s">
        <v>79</v>
      </c>
      <c r="I1563" t="s">
        <v>80</v>
      </c>
      <c r="J1563" t="s">
        <v>91</v>
      </c>
      <c r="K1563" t="s">
        <v>78</v>
      </c>
      <c r="L1563" t="s">
        <v>79</v>
      </c>
      <c r="M1563" t="s">
        <v>80</v>
      </c>
      <c r="N1563" t="s">
        <v>2331</v>
      </c>
      <c r="O1563" t="s">
        <v>226</v>
      </c>
      <c r="P1563" t="str">
        <f>"4170064277                    "</f>
        <v xml:space="preserve">4170064277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17.47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3.8</v>
      </c>
      <c r="BK1563">
        <v>4</v>
      </c>
      <c r="BL1563">
        <v>55.44</v>
      </c>
      <c r="BM1563">
        <v>8.32</v>
      </c>
      <c r="BN1563">
        <v>63.76</v>
      </c>
      <c r="BO1563">
        <v>63.76</v>
      </c>
      <c r="BQ1563" t="s">
        <v>2332</v>
      </c>
      <c r="BR1563" t="s">
        <v>97</v>
      </c>
      <c r="BS1563" s="3">
        <v>45945</v>
      </c>
      <c r="BT1563" s="4">
        <v>0.42986111111111114</v>
      </c>
      <c r="BU1563" t="s">
        <v>2333</v>
      </c>
      <c r="BV1563" t="s">
        <v>86</v>
      </c>
      <c r="BY1563">
        <v>19227</v>
      </c>
      <c r="CA1563" t="s">
        <v>631</v>
      </c>
      <c r="CC1563" t="s">
        <v>80</v>
      </c>
      <c r="CD1563">
        <v>1600</v>
      </c>
      <c r="CE1563" t="s">
        <v>191</v>
      </c>
      <c r="CF1563" s="3">
        <v>45945</v>
      </c>
      <c r="CI1563">
        <v>1</v>
      </c>
      <c r="CJ1563">
        <v>1</v>
      </c>
      <c r="CK1563">
        <v>32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"080068516237"</f>
        <v>080068516237</v>
      </c>
      <c r="F1564" s="3">
        <v>45944</v>
      </c>
      <c r="G1564">
        <v>202607</v>
      </c>
      <c r="H1564" t="s">
        <v>79</v>
      </c>
      <c r="I1564" t="s">
        <v>80</v>
      </c>
      <c r="J1564" t="s">
        <v>91</v>
      </c>
      <c r="K1564" t="s">
        <v>78</v>
      </c>
      <c r="L1564" t="s">
        <v>79</v>
      </c>
      <c r="M1564" t="s">
        <v>80</v>
      </c>
      <c r="N1564" t="s">
        <v>509</v>
      </c>
      <c r="O1564" t="s">
        <v>82</v>
      </c>
      <c r="P1564" t="str">
        <f>"4170064238                    "</f>
        <v xml:space="preserve">4170064238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17.46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1.1000000000000001</v>
      </c>
      <c r="BK1564">
        <v>2</v>
      </c>
      <c r="BL1564">
        <v>55.42</v>
      </c>
      <c r="BM1564">
        <v>8.31</v>
      </c>
      <c r="BN1564">
        <v>63.73</v>
      </c>
      <c r="BO1564">
        <v>63.73</v>
      </c>
      <c r="BQ1564" t="s">
        <v>510</v>
      </c>
      <c r="BR1564" t="s">
        <v>97</v>
      </c>
      <c r="BS1564" s="3">
        <v>45945</v>
      </c>
      <c r="BT1564" s="4">
        <v>0.35486111111111113</v>
      </c>
      <c r="BU1564" t="s">
        <v>2334</v>
      </c>
      <c r="BV1564" t="s">
        <v>86</v>
      </c>
      <c r="BY1564">
        <v>5320</v>
      </c>
      <c r="CA1564" t="s">
        <v>631</v>
      </c>
      <c r="CC1564" t="s">
        <v>80</v>
      </c>
      <c r="CD1564">
        <v>1600</v>
      </c>
      <c r="CE1564" t="s">
        <v>191</v>
      </c>
      <c r="CF1564" s="3">
        <v>45945</v>
      </c>
      <c r="CI1564">
        <v>1</v>
      </c>
      <c r="CJ1564">
        <v>1</v>
      </c>
      <c r="CK1564">
        <v>22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"080068516499"</f>
        <v>080068516499</v>
      </c>
      <c r="F1565" s="3">
        <v>45944</v>
      </c>
      <c r="G1565">
        <v>202607</v>
      </c>
      <c r="H1565" t="s">
        <v>79</v>
      </c>
      <c r="I1565" t="s">
        <v>80</v>
      </c>
      <c r="J1565" t="s">
        <v>91</v>
      </c>
      <c r="K1565" t="s">
        <v>78</v>
      </c>
      <c r="L1565" t="s">
        <v>92</v>
      </c>
      <c r="M1565" t="s">
        <v>93</v>
      </c>
      <c r="N1565" t="s">
        <v>597</v>
      </c>
      <c r="O1565" t="s">
        <v>82</v>
      </c>
      <c r="P1565" t="str">
        <f>"4170064208                    "</f>
        <v xml:space="preserve">4170064208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145.21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13</v>
      </c>
      <c r="BJ1565">
        <v>8.9</v>
      </c>
      <c r="BK1565">
        <v>13</v>
      </c>
      <c r="BL1565">
        <v>460.89</v>
      </c>
      <c r="BM1565">
        <v>69.13</v>
      </c>
      <c r="BN1565">
        <v>530.02</v>
      </c>
      <c r="BO1565">
        <v>530.02</v>
      </c>
      <c r="BQ1565" t="s">
        <v>598</v>
      </c>
      <c r="BR1565" t="s">
        <v>97</v>
      </c>
      <c r="BS1565" s="3">
        <v>45945</v>
      </c>
      <c r="BT1565" s="4">
        <v>0.41319444444444442</v>
      </c>
      <c r="BU1565" t="s">
        <v>599</v>
      </c>
      <c r="BV1565" t="s">
        <v>86</v>
      </c>
      <c r="BY1565">
        <v>44640</v>
      </c>
      <c r="CA1565" t="s">
        <v>600</v>
      </c>
      <c r="CC1565" t="s">
        <v>93</v>
      </c>
      <c r="CD1565">
        <v>3201</v>
      </c>
      <c r="CE1565" t="s">
        <v>191</v>
      </c>
      <c r="CF1565" s="3">
        <v>45946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"080068516552"</f>
        <v>080068516552</v>
      </c>
      <c r="F1566" s="3">
        <v>45944</v>
      </c>
      <c r="G1566">
        <v>202607</v>
      </c>
      <c r="H1566" t="s">
        <v>79</v>
      </c>
      <c r="I1566" t="s">
        <v>80</v>
      </c>
      <c r="J1566" t="s">
        <v>91</v>
      </c>
      <c r="K1566" t="s">
        <v>78</v>
      </c>
      <c r="L1566" t="s">
        <v>168</v>
      </c>
      <c r="M1566" t="s">
        <v>169</v>
      </c>
      <c r="N1566" t="s">
        <v>2335</v>
      </c>
      <c r="O1566" t="s">
        <v>95</v>
      </c>
      <c r="P1566" t="str">
        <f>"4170064294                    "</f>
        <v xml:space="preserve">4170064294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43.23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7</v>
      </c>
      <c r="BJ1566">
        <v>8.9</v>
      </c>
      <c r="BK1566">
        <v>9</v>
      </c>
      <c r="BL1566">
        <v>143.08000000000001</v>
      </c>
      <c r="BM1566">
        <v>21.46</v>
      </c>
      <c r="BN1566">
        <v>164.54</v>
      </c>
      <c r="BO1566">
        <v>164.54</v>
      </c>
      <c r="BQ1566" t="s">
        <v>2336</v>
      </c>
      <c r="BR1566" t="s">
        <v>97</v>
      </c>
      <c r="BS1566" s="3">
        <v>45945</v>
      </c>
      <c r="BT1566" s="4">
        <v>0.48541666666666666</v>
      </c>
      <c r="BU1566" t="s">
        <v>2337</v>
      </c>
      <c r="BV1566" t="s">
        <v>86</v>
      </c>
      <c r="BY1566">
        <v>44640</v>
      </c>
      <c r="CA1566">
        <v>9103185460089</v>
      </c>
      <c r="CC1566" t="s">
        <v>169</v>
      </c>
      <c r="CD1566" s="5" t="s">
        <v>1061</v>
      </c>
      <c r="CE1566" t="s">
        <v>191</v>
      </c>
      <c r="CF1566" s="3">
        <v>45945</v>
      </c>
      <c r="CI1566">
        <v>1</v>
      </c>
      <c r="CJ1566">
        <v>1</v>
      </c>
      <c r="CK1566">
        <v>41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"080068516700"</f>
        <v>080068516700</v>
      </c>
      <c r="F1567" s="3">
        <v>45944</v>
      </c>
      <c r="G1567">
        <v>202607</v>
      </c>
      <c r="H1567" t="s">
        <v>79</v>
      </c>
      <c r="I1567" t="s">
        <v>80</v>
      </c>
      <c r="J1567" t="s">
        <v>91</v>
      </c>
      <c r="K1567" t="s">
        <v>78</v>
      </c>
      <c r="L1567" t="s">
        <v>168</v>
      </c>
      <c r="M1567" t="s">
        <v>169</v>
      </c>
      <c r="N1567" t="s">
        <v>2053</v>
      </c>
      <c r="O1567" t="s">
        <v>95</v>
      </c>
      <c r="P1567" t="str">
        <f>"4170064288                    "</f>
        <v xml:space="preserve">4170064288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352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2</v>
      </c>
      <c r="BI1567">
        <v>58</v>
      </c>
      <c r="BJ1567">
        <v>187.3</v>
      </c>
      <c r="BK1567">
        <v>188</v>
      </c>
      <c r="BL1567">
        <v>1123.0899999999999</v>
      </c>
      <c r="BM1567">
        <v>168.46</v>
      </c>
      <c r="BN1567">
        <v>1291.55</v>
      </c>
      <c r="BO1567">
        <v>1291.55</v>
      </c>
      <c r="BQ1567" t="s">
        <v>2054</v>
      </c>
      <c r="BR1567" t="s">
        <v>97</v>
      </c>
      <c r="BS1567" s="3">
        <v>45945</v>
      </c>
      <c r="BT1567" s="4">
        <v>0.54861111111111116</v>
      </c>
      <c r="BU1567" t="s">
        <v>2055</v>
      </c>
      <c r="BV1567" t="s">
        <v>86</v>
      </c>
      <c r="BY1567">
        <v>936630</v>
      </c>
      <c r="CC1567" t="s">
        <v>169</v>
      </c>
      <c r="CD1567" s="5" t="s">
        <v>173</v>
      </c>
      <c r="CE1567" t="s">
        <v>191</v>
      </c>
      <c r="CF1567" s="3">
        <v>45945</v>
      </c>
      <c r="CI1567">
        <v>1</v>
      </c>
      <c r="CJ1567">
        <v>1</v>
      </c>
      <c r="CK1567">
        <v>41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"080068517367"</f>
        <v>080068517367</v>
      </c>
      <c r="F1568" s="3">
        <v>45944</v>
      </c>
      <c r="G1568">
        <v>202607</v>
      </c>
      <c r="H1568" t="s">
        <v>79</v>
      </c>
      <c r="I1568" t="s">
        <v>80</v>
      </c>
      <c r="J1568" t="s">
        <v>91</v>
      </c>
      <c r="K1568" t="s">
        <v>78</v>
      </c>
      <c r="L1568" t="s">
        <v>453</v>
      </c>
      <c r="M1568" t="s">
        <v>454</v>
      </c>
      <c r="N1568" t="s">
        <v>665</v>
      </c>
      <c r="O1568" t="s">
        <v>82</v>
      </c>
      <c r="P1568" t="str">
        <f>"4170064247                    "</f>
        <v xml:space="preserve">4170064247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22.36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1.8</v>
      </c>
      <c r="BK1568">
        <v>2</v>
      </c>
      <c r="BL1568">
        <v>70.959999999999994</v>
      </c>
      <c r="BM1568">
        <v>10.64</v>
      </c>
      <c r="BN1568">
        <v>81.599999999999994</v>
      </c>
      <c r="BO1568">
        <v>81.599999999999994</v>
      </c>
      <c r="BQ1568" t="s">
        <v>666</v>
      </c>
      <c r="BR1568" t="s">
        <v>97</v>
      </c>
      <c r="BS1568" s="3">
        <v>45945</v>
      </c>
      <c r="BT1568" s="4">
        <v>0.47986111111111113</v>
      </c>
      <c r="BU1568" t="s">
        <v>667</v>
      </c>
      <c r="BV1568" t="s">
        <v>86</v>
      </c>
      <c r="BY1568">
        <v>8816</v>
      </c>
      <c r="CA1568" t="s">
        <v>742</v>
      </c>
      <c r="CC1568" t="s">
        <v>454</v>
      </c>
      <c r="CD1568">
        <v>3610</v>
      </c>
      <c r="CE1568" t="s">
        <v>191</v>
      </c>
      <c r="CF1568" s="3">
        <v>45946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"080068517568"</f>
        <v>080068517568</v>
      </c>
      <c r="F1569" s="3">
        <v>45944</v>
      </c>
      <c r="G1569">
        <v>202607</v>
      </c>
      <c r="H1569" t="s">
        <v>79</v>
      </c>
      <c r="I1569" t="s">
        <v>80</v>
      </c>
      <c r="J1569" t="s">
        <v>91</v>
      </c>
      <c r="K1569" t="s">
        <v>78</v>
      </c>
      <c r="L1569" t="s">
        <v>265</v>
      </c>
      <c r="M1569" t="s">
        <v>266</v>
      </c>
      <c r="N1569" t="s">
        <v>721</v>
      </c>
      <c r="O1569" t="s">
        <v>95</v>
      </c>
      <c r="P1569" t="str">
        <f>"4170064287                    "</f>
        <v xml:space="preserve">4170064287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132.47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2</v>
      </c>
      <c r="BI1569">
        <v>22</v>
      </c>
      <c r="BJ1569">
        <v>64.5</v>
      </c>
      <c r="BK1569">
        <v>65</v>
      </c>
      <c r="BL1569">
        <v>426.32</v>
      </c>
      <c r="BM1569">
        <v>63.95</v>
      </c>
      <c r="BN1569">
        <v>490.27</v>
      </c>
      <c r="BO1569">
        <v>490.27</v>
      </c>
      <c r="BQ1569" t="s">
        <v>722</v>
      </c>
      <c r="BR1569" t="s">
        <v>97</v>
      </c>
      <c r="BS1569" s="3">
        <v>45947</v>
      </c>
      <c r="BT1569" s="4">
        <v>0.40694444444444444</v>
      </c>
      <c r="BU1569" t="s">
        <v>2338</v>
      </c>
      <c r="BV1569" t="s">
        <v>86</v>
      </c>
      <c r="BY1569">
        <v>322365</v>
      </c>
      <c r="CA1569" t="s">
        <v>146</v>
      </c>
      <c r="CC1569" t="s">
        <v>266</v>
      </c>
      <c r="CD1569">
        <v>6229</v>
      </c>
      <c r="CE1569" t="s">
        <v>147</v>
      </c>
      <c r="CF1569" s="3">
        <v>45947</v>
      </c>
      <c r="CI1569">
        <v>3</v>
      </c>
      <c r="CJ1569">
        <v>3</v>
      </c>
      <c r="CK1569">
        <v>41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"080068517710"</f>
        <v>080068517710</v>
      </c>
      <c r="F1570" s="3">
        <v>45944</v>
      </c>
      <c r="G1570">
        <v>202607</v>
      </c>
      <c r="H1570" t="s">
        <v>79</v>
      </c>
      <c r="I1570" t="s">
        <v>80</v>
      </c>
      <c r="J1570" t="s">
        <v>91</v>
      </c>
      <c r="K1570" t="s">
        <v>78</v>
      </c>
      <c r="L1570" t="s">
        <v>218</v>
      </c>
      <c r="M1570" t="s">
        <v>219</v>
      </c>
      <c r="N1570" t="s">
        <v>622</v>
      </c>
      <c r="O1570" t="s">
        <v>226</v>
      </c>
      <c r="P1570" t="str">
        <f>"4170064268                    "</f>
        <v xml:space="preserve">4170064268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19.43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6</v>
      </c>
      <c r="BJ1570">
        <v>8.8000000000000007</v>
      </c>
      <c r="BK1570">
        <v>9</v>
      </c>
      <c r="BL1570">
        <v>61.66</v>
      </c>
      <c r="BM1570">
        <v>9.25</v>
      </c>
      <c r="BN1570">
        <v>70.91</v>
      </c>
      <c r="BO1570">
        <v>70.91</v>
      </c>
      <c r="BQ1570" t="s">
        <v>623</v>
      </c>
      <c r="BR1570" t="s">
        <v>97</v>
      </c>
      <c r="BS1570" s="3">
        <v>45945</v>
      </c>
      <c r="BT1570" s="4">
        <v>0.47638888888888886</v>
      </c>
      <c r="BU1570" t="s">
        <v>2339</v>
      </c>
      <c r="BV1570" t="s">
        <v>86</v>
      </c>
      <c r="BY1570">
        <v>44080</v>
      </c>
      <c r="CA1570" t="s">
        <v>1434</v>
      </c>
      <c r="CC1570" t="s">
        <v>219</v>
      </c>
      <c r="CD1570">
        <v>1559</v>
      </c>
      <c r="CE1570" t="s">
        <v>2314</v>
      </c>
      <c r="CF1570" s="3">
        <v>45945</v>
      </c>
      <c r="CI1570">
        <v>1</v>
      </c>
      <c r="CJ1570">
        <v>1</v>
      </c>
      <c r="CK1570">
        <v>32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"080068517902"</f>
        <v>080068517902</v>
      </c>
      <c r="F1571" s="3">
        <v>45944</v>
      </c>
      <c r="G1571">
        <v>202607</v>
      </c>
      <c r="H1571" t="s">
        <v>79</v>
      </c>
      <c r="I1571" t="s">
        <v>80</v>
      </c>
      <c r="J1571" t="s">
        <v>91</v>
      </c>
      <c r="K1571" t="s">
        <v>78</v>
      </c>
      <c r="L1571" t="s">
        <v>206</v>
      </c>
      <c r="M1571" t="s">
        <v>207</v>
      </c>
      <c r="N1571" t="s">
        <v>208</v>
      </c>
      <c r="O1571" t="s">
        <v>82</v>
      </c>
      <c r="P1571" t="str">
        <f>"4170064283                    "</f>
        <v xml:space="preserve">4170064283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22.36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70.959999999999994</v>
      </c>
      <c r="BM1571">
        <v>10.64</v>
      </c>
      <c r="BN1571">
        <v>81.599999999999994</v>
      </c>
      <c r="BO1571">
        <v>81.599999999999994</v>
      </c>
      <c r="BQ1571" t="s">
        <v>209</v>
      </c>
      <c r="BR1571" t="s">
        <v>97</v>
      </c>
      <c r="BS1571" s="3">
        <v>45945</v>
      </c>
      <c r="BT1571" s="4">
        <v>0.37986111111111109</v>
      </c>
      <c r="BU1571" t="s">
        <v>1732</v>
      </c>
      <c r="BV1571" t="s">
        <v>86</v>
      </c>
      <c r="BY1571">
        <v>1200</v>
      </c>
      <c r="CA1571" t="s">
        <v>211</v>
      </c>
      <c r="CC1571" t="s">
        <v>207</v>
      </c>
      <c r="CD1571">
        <v>7441</v>
      </c>
      <c r="CE1571" t="s">
        <v>147</v>
      </c>
      <c r="CF1571" s="3">
        <v>45946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"080068517973"</f>
        <v>080068517973</v>
      </c>
      <c r="F1572" s="3">
        <v>45944</v>
      </c>
      <c r="G1572">
        <v>202607</v>
      </c>
      <c r="H1572" t="s">
        <v>79</v>
      </c>
      <c r="I1572" t="s">
        <v>80</v>
      </c>
      <c r="J1572" t="s">
        <v>91</v>
      </c>
      <c r="K1572" t="s">
        <v>78</v>
      </c>
      <c r="L1572" t="s">
        <v>1095</v>
      </c>
      <c r="M1572" t="s">
        <v>1096</v>
      </c>
      <c r="N1572" t="s">
        <v>1097</v>
      </c>
      <c r="O1572" t="s">
        <v>82</v>
      </c>
      <c r="P1572" t="str">
        <f>"4170064250                    "</f>
        <v xml:space="preserve">4170064250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43.31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137.47</v>
      </c>
      <c r="BM1572">
        <v>20.62</v>
      </c>
      <c r="BN1572">
        <v>158.09</v>
      </c>
      <c r="BO1572">
        <v>158.09</v>
      </c>
      <c r="BQ1572" t="s">
        <v>1098</v>
      </c>
      <c r="BR1572" t="s">
        <v>97</v>
      </c>
      <c r="BS1572" s="3">
        <v>45945</v>
      </c>
      <c r="BT1572" s="4">
        <v>0.40833333333333333</v>
      </c>
      <c r="BU1572" t="s">
        <v>2320</v>
      </c>
      <c r="BV1572" t="s">
        <v>86</v>
      </c>
      <c r="BY1572">
        <v>1200</v>
      </c>
      <c r="CA1572" t="s">
        <v>1099</v>
      </c>
      <c r="CC1572" t="s">
        <v>1096</v>
      </c>
      <c r="CD1572">
        <v>2302</v>
      </c>
      <c r="CE1572" t="s">
        <v>147</v>
      </c>
      <c r="CF1572" s="3">
        <v>45945</v>
      </c>
      <c r="CI1572">
        <v>1</v>
      </c>
      <c r="CJ1572">
        <v>1</v>
      </c>
      <c r="CK1572">
        <v>23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"080068518005"</f>
        <v>080068518005</v>
      </c>
      <c r="F1573" s="3">
        <v>45944</v>
      </c>
      <c r="G1573">
        <v>202607</v>
      </c>
      <c r="H1573" t="s">
        <v>79</v>
      </c>
      <c r="I1573" t="s">
        <v>80</v>
      </c>
      <c r="J1573" t="s">
        <v>91</v>
      </c>
      <c r="K1573" t="s">
        <v>78</v>
      </c>
      <c r="L1573" t="s">
        <v>168</v>
      </c>
      <c r="M1573" t="s">
        <v>169</v>
      </c>
      <c r="N1573" t="s">
        <v>2053</v>
      </c>
      <c r="O1573" t="s">
        <v>82</v>
      </c>
      <c r="P1573" t="str">
        <f>"4170064291                    "</f>
        <v xml:space="preserve">4170064291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22.36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70.959999999999994</v>
      </c>
      <c r="BM1573">
        <v>10.64</v>
      </c>
      <c r="BN1573">
        <v>81.599999999999994</v>
      </c>
      <c r="BO1573">
        <v>81.599999999999994</v>
      </c>
      <c r="BQ1573" t="s">
        <v>2054</v>
      </c>
      <c r="BR1573" t="s">
        <v>97</v>
      </c>
      <c r="BS1573" s="3">
        <v>45945</v>
      </c>
      <c r="BT1573" s="4">
        <v>0.34930555555555554</v>
      </c>
      <c r="BU1573" t="s">
        <v>2340</v>
      </c>
      <c r="BV1573" t="s">
        <v>86</v>
      </c>
      <c r="BY1573">
        <v>1200</v>
      </c>
      <c r="CA1573">
        <v>9102195591081</v>
      </c>
      <c r="CC1573" t="s">
        <v>169</v>
      </c>
      <c r="CD1573" s="5" t="s">
        <v>173</v>
      </c>
      <c r="CE1573" t="s">
        <v>147</v>
      </c>
      <c r="CF1573" s="3">
        <v>45945</v>
      </c>
      <c r="CI1573">
        <v>1</v>
      </c>
      <c r="CJ1573">
        <v>1</v>
      </c>
      <c r="CK1573">
        <v>21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"080068518044"</f>
        <v>080068518044</v>
      </c>
      <c r="F1574" s="3">
        <v>45944</v>
      </c>
      <c r="G1574">
        <v>202607</v>
      </c>
      <c r="H1574" t="s">
        <v>79</v>
      </c>
      <c r="I1574" t="s">
        <v>80</v>
      </c>
      <c r="J1574" t="s">
        <v>91</v>
      </c>
      <c r="K1574" t="s">
        <v>78</v>
      </c>
      <c r="L1574" t="s">
        <v>121</v>
      </c>
      <c r="M1574" t="s">
        <v>122</v>
      </c>
      <c r="N1574" t="s">
        <v>154</v>
      </c>
      <c r="O1574" t="s">
        <v>82</v>
      </c>
      <c r="P1574" t="str">
        <f>"4170064293                    "</f>
        <v xml:space="preserve">4170064293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22.36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70.959999999999994</v>
      </c>
      <c r="BM1574">
        <v>10.64</v>
      </c>
      <c r="BN1574">
        <v>81.599999999999994</v>
      </c>
      <c r="BO1574">
        <v>81.599999999999994</v>
      </c>
      <c r="BQ1574" t="s">
        <v>155</v>
      </c>
      <c r="BR1574" t="s">
        <v>97</v>
      </c>
      <c r="BS1574" s="3">
        <v>45945</v>
      </c>
      <c r="BT1574" s="4">
        <v>0.74791666666666667</v>
      </c>
      <c r="BU1574" t="s">
        <v>2295</v>
      </c>
      <c r="BV1574" t="s">
        <v>90</v>
      </c>
      <c r="BW1574" t="s">
        <v>136</v>
      </c>
      <c r="BX1574" t="s">
        <v>858</v>
      </c>
      <c r="BY1574">
        <v>1200</v>
      </c>
      <c r="CA1574" t="s">
        <v>311</v>
      </c>
      <c r="CC1574" t="s">
        <v>122</v>
      </c>
      <c r="CD1574">
        <v>4052</v>
      </c>
      <c r="CE1574" t="s">
        <v>147</v>
      </c>
      <c r="CF1574" s="3">
        <v>45946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"080068518060"</f>
        <v>080068518060</v>
      </c>
      <c r="F1575" s="3">
        <v>45944</v>
      </c>
      <c r="G1575">
        <v>202607</v>
      </c>
      <c r="H1575" t="s">
        <v>79</v>
      </c>
      <c r="I1575" t="s">
        <v>80</v>
      </c>
      <c r="J1575" t="s">
        <v>91</v>
      </c>
      <c r="K1575" t="s">
        <v>78</v>
      </c>
      <c r="L1575" t="s">
        <v>168</v>
      </c>
      <c r="M1575" t="s">
        <v>169</v>
      </c>
      <c r="N1575" t="s">
        <v>873</v>
      </c>
      <c r="O1575" t="s">
        <v>82</v>
      </c>
      <c r="P1575" t="str">
        <f>"4170064230                    "</f>
        <v xml:space="preserve">4170064230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22.36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1.9</v>
      </c>
      <c r="BK1575">
        <v>2</v>
      </c>
      <c r="BL1575">
        <v>70.959999999999994</v>
      </c>
      <c r="BM1575">
        <v>10.64</v>
      </c>
      <c r="BN1575">
        <v>81.599999999999994</v>
      </c>
      <c r="BO1575">
        <v>81.599999999999994</v>
      </c>
      <c r="BQ1575" t="s">
        <v>874</v>
      </c>
      <c r="BR1575" t="s">
        <v>97</v>
      </c>
      <c r="BS1575" s="3">
        <v>45945</v>
      </c>
      <c r="BT1575" s="4">
        <v>0.49375000000000002</v>
      </c>
      <c r="BU1575" t="s">
        <v>2206</v>
      </c>
      <c r="BV1575" t="s">
        <v>86</v>
      </c>
      <c r="BY1575">
        <v>9600</v>
      </c>
      <c r="CC1575" t="s">
        <v>169</v>
      </c>
      <c r="CD1575" s="5" t="s">
        <v>877</v>
      </c>
      <c r="CE1575" t="s">
        <v>191</v>
      </c>
      <c r="CF1575" s="3">
        <v>45945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"080068518099"</f>
        <v>080068518099</v>
      </c>
      <c r="F1576" s="3">
        <v>45944</v>
      </c>
      <c r="G1576">
        <v>202607</v>
      </c>
      <c r="H1576" t="s">
        <v>79</v>
      </c>
      <c r="I1576" t="s">
        <v>80</v>
      </c>
      <c r="J1576" t="s">
        <v>91</v>
      </c>
      <c r="K1576" t="s">
        <v>78</v>
      </c>
      <c r="L1576" t="s">
        <v>108</v>
      </c>
      <c r="M1576" t="s">
        <v>109</v>
      </c>
      <c r="N1576" t="s">
        <v>938</v>
      </c>
      <c r="O1576" t="s">
        <v>82</v>
      </c>
      <c r="P1576" t="str">
        <f>"4170064281                    "</f>
        <v xml:space="preserve">4170064281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44.69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4</v>
      </c>
      <c r="BJ1576">
        <v>1.1000000000000001</v>
      </c>
      <c r="BK1576">
        <v>4</v>
      </c>
      <c r="BL1576">
        <v>141.85</v>
      </c>
      <c r="BM1576">
        <v>21.28</v>
      </c>
      <c r="BN1576">
        <v>163.13</v>
      </c>
      <c r="BO1576">
        <v>163.13</v>
      </c>
      <c r="BQ1576" t="s">
        <v>939</v>
      </c>
      <c r="BR1576" t="s">
        <v>97</v>
      </c>
      <c r="BS1576" s="3">
        <v>45945</v>
      </c>
      <c r="BT1576" s="4">
        <v>0.41944444444444445</v>
      </c>
      <c r="BU1576" t="s">
        <v>2341</v>
      </c>
      <c r="BV1576" t="s">
        <v>86</v>
      </c>
      <c r="BY1576">
        <v>5510</v>
      </c>
      <c r="CA1576" t="s">
        <v>1145</v>
      </c>
      <c r="CC1576" t="s">
        <v>109</v>
      </c>
      <c r="CD1576">
        <v>6056</v>
      </c>
      <c r="CE1576" t="s">
        <v>191</v>
      </c>
      <c r="CF1576" s="3">
        <v>45945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"080068518115"</f>
        <v>080068518115</v>
      </c>
      <c r="F1577" s="3">
        <v>45944</v>
      </c>
      <c r="G1577">
        <v>202607</v>
      </c>
      <c r="H1577" t="s">
        <v>79</v>
      </c>
      <c r="I1577" t="s">
        <v>80</v>
      </c>
      <c r="J1577" t="s">
        <v>91</v>
      </c>
      <c r="K1577" t="s">
        <v>78</v>
      </c>
      <c r="L1577" t="s">
        <v>168</v>
      </c>
      <c r="M1577" t="s">
        <v>169</v>
      </c>
      <c r="N1577" t="s">
        <v>923</v>
      </c>
      <c r="O1577" t="s">
        <v>95</v>
      </c>
      <c r="P1577" t="str">
        <f>"4170064241                    "</f>
        <v xml:space="preserve">4170064241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43.23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13</v>
      </c>
      <c r="BJ1577">
        <v>4.0999999999999996</v>
      </c>
      <c r="BK1577">
        <v>13</v>
      </c>
      <c r="BL1577">
        <v>143.08000000000001</v>
      </c>
      <c r="BM1577">
        <v>21.46</v>
      </c>
      <c r="BN1577">
        <v>164.54</v>
      </c>
      <c r="BO1577">
        <v>164.54</v>
      </c>
      <c r="BQ1577" t="s">
        <v>924</v>
      </c>
      <c r="BR1577" t="s">
        <v>97</v>
      </c>
      <c r="BS1577" s="3">
        <v>45945</v>
      </c>
      <c r="BT1577" s="4">
        <v>0.37152777777777779</v>
      </c>
      <c r="BU1577" t="s">
        <v>925</v>
      </c>
      <c r="BV1577" t="s">
        <v>86</v>
      </c>
      <c r="BY1577">
        <v>20358</v>
      </c>
      <c r="CA1577">
        <v>9107126013089</v>
      </c>
      <c r="CC1577" t="s">
        <v>169</v>
      </c>
      <c r="CD1577" s="5" t="s">
        <v>926</v>
      </c>
      <c r="CE1577" t="s">
        <v>191</v>
      </c>
      <c r="CF1577" s="3">
        <v>45945</v>
      </c>
      <c r="CI1577">
        <v>1</v>
      </c>
      <c r="CJ1577">
        <v>1</v>
      </c>
      <c r="CK1577">
        <v>41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"080068518567"</f>
        <v>080068518567</v>
      </c>
      <c r="F1578" s="3">
        <v>45944</v>
      </c>
      <c r="G1578">
        <v>202607</v>
      </c>
      <c r="H1578" t="s">
        <v>79</v>
      </c>
      <c r="I1578" t="s">
        <v>80</v>
      </c>
      <c r="J1578" t="s">
        <v>91</v>
      </c>
      <c r="K1578" t="s">
        <v>78</v>
      </c>
      <c r="L1578" t="s">
        <v>148</v>
      </c>
      <c r="M1578" t="s">
        <v>149</v>
      </c>
      <c r="N1578" t="s">
        <v>1445</v>
      </c>
      <c r="O1578" t="s">
        <v>82</v>
      </c>
      <c r="P1578" t="str">
        <f>"4170064297                    "</f>
        <v xml:space="preserve">4170064297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17.46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55.42</v>
      </c>
      <c r="BM1578">
        <v>8.31</v>
      </c>
      <c r="BN1578">
        <v>63.73</v>
      </c>
      <c r="BO1578">
        <v>63.73</v>
      </c>
      <c r="BQ1578" t="s">
        <v>1446</v>
      </c>
      <c r="BR1578" t="s">
        <v>97</v>
      </c>
      <c r="BS1578" s="3">
        <v>45945</v>
      </c>
      <c r="BT1578" s="4">
        <v>0.4375</v>
      </c>
      <c r="BU1578" t="s">
        <v>2342</v>
      </c>
      <c r="BV1578" t="s">
        <v>86</v>
      </c>
      <c r="BY1578">
        <v>1200</v>
      </c>
      <c r="CC1578" t="s">
        <v>149</v>
      </c>
      <c r="CD1578">
        <v>2065</v>
      </c>
      <c r="CE1578" t="s">
        <v>147</v>
      </c>
      <c r="CF1578" s="3">
        <v>45946</v>
      </c>
      <c r="CI1578">
        <v>1</v>
      </c>
      <c r="CJ1578">
        <v>1</v>
      </c>
      <c r="CK1578">
        <v>22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"080068518575"</f>
        <v>080068518575</v>
      </c>
      <c r="F1579" s="3">
        <v>45944</v>
      </c>
      <c r="G1579">
        <v>202607</v>
      </c>
      <c r="H1579" t="s">
        <v>79</v>
      </c>
      <c r="I1579" t="s">
        <v>80</v>
      </c>
      <c r="J1579" t="s">
        <v>91</v>
      </c>
      <c r="K1579" t="s">
        <v>78</v>
      </c>
      <c r="L1579" t="s">
        <v>79</v>
      </c>
      <c r="M1579" t="s">
        <v>80</v>
      </c>
      <c r="N1579" t="s">
        <v>694</v>
      </c>
      <c r="O1579" t="s">
        <v>226</v>
      </c>
      <c r="P1579" t="str">
        <f>"4170064286                    "</f>
        <v xml:space="preserve">4170064286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17.47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6</v>
      </c>
      <c r="BJ1579">
        <v>3.1</v>
      </c>
      <c r="BK1579">
        <v>6</v>
      </c>
      <c r="BL1579">
        <v>55.44</v>
      </c>
      <c r="BM1579">
        <v>8.32</v>
      </c>
      <c r="BN1579">
        <v>63.76</v>
      </c>
      <c r="BO1579">
        <v>63.76</v>
      </c>
      <c r="BQ1579" t="s">
        <v>695</v>
      </c>
      <c r="BR1579" t="s">
        <v>97</v>
      </c>
      <c r="BS1579" s="3">
        <v>45945</v>
      </c>
      <c r="BT1579" s="4">
        <v>0.32569444444444445</v>
      </c>
      <c r="BU1579" t="s">
        <v>696</v>
      </c>
      <c r="BV1579" t="s">
        <v>86</v>
      </c>
      <c r="BY1579">
        <v>15360</v>
      </c>
      <c r="CA1579" t="s">
        <v>631</v>
      </c>
      <c r="CC1579" t="s">
        <v>80</v>
      </c>
      <c r="CD1579">
        <v>1601</v>
      </c>
      <c r="CE1579" t="s">
        <v>191</v>
      </c>
      <c r="CF1579" s="3">
        <v>45945</v>
      </c>
      <c r="CI1579">
        <v>1</v>
      </c>
      <c r="CJ1579">
        <v>1</v>
      </c>
      <c r="CK1579">
        <v>32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"080068518622"</f>
        <v>080068518622</v>
      </c>
      <c r="F1580" s="3">
        <v>45944</v>
      </c>
      <c r="G1580">
        <v>202607</v>
      </c>
      <c r="H1580" t="s">
        <v>79</v>
      </c>
      <c r="I1580" t="s">
        <v>80</v>
      </c>
      <c r="J1580" t="s">
        <v>91</v>
      </c>
      <c r="K1580" t="s">
        <v>78</v>
      </c>
      <c r="L1580" t="s">
        <v>148</v>
      </c>
      <c r="M1580" t="s">
        <v>149</v>
      </c>
      <c r="N1580" t="s">
        <v>819</v>
      </c>
      <c r="O1580" t="s">
        <v>82</v>
      </c>
      <c r="P1580" t="str">
        <f>"4170064292                    "</f>
        <v xml:space="preserve">4170064292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17.46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55.42</v>
      </c>
      <c r="BM1580">
        <v>8.31</v>
      </c>
      <c r="BN1580">
        <v>63.73</v>
      </c>
      <c r="BO1580">
        <v>63.73</v>
      </c>
      <c r="BQ1580" t="s">
        <v>820</v>
      </c>
      <c r="BR1580" t="s">
        <v>97</v>
      </c>
      <c r="BS1580" s="3">
        <v>45945</v>
      </c>
      <c r="BT1580" s="4">
        <v>0.42916666666666664</v>
      </c>
      <c r="BU1580" t="s">
        <v>2343</v>
      </c>
      <c r="BV1580" t="s">
        <v>86</v>
      </c>
      <c r="BY1580">
        <v>1200</v>
      </c>
      <c r="CA1580" t="s">
        <v>1408</v>
      </c>
      <c r="CC1580" t="s">
        <v>149</v>
      </c>
      <c r="CD1580">
        <v>2197</v>
      </c>
      <c r="CE1580" t="s">
        <v>147</v>
      </c>
      <c r="CF1580" s="3">
        <v>45945</v>
      </c>
      <c r="CI1580">
        <v>1</v>
      </c>
      <c r="CJ1580">
        <v>1</v>
      </c>
      <c r="CK1580">
        <v>22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"080068518639"</f>
        <v>080068518639</v>
      </c>
      <c r="F1581" s="3">
        <v>45944</v>
      </c>
      <c r="G1581">
        <v>202607</v>
      </c>
      <c r="H1581" t="s">
        <v>79</v>
      </c>
      <c r="I1581" t="s">
        <v>80</v>
      </c>
      <c r="J1581" t="s">
        <v>91</v>
      </c>
      <c r="K1581" t="s">
        <v>78</v>
      </c>
      <c r="L1581" t="s">
        <v>300</v>
      </c>
      <c r="M1581" t="s">
        <v>301</v>
      </c>
      <c r="N1581" t="s">
        <v>302</v>
      </c>
      <c r="O1581" t="s">
        <v>226</v>
      </c>
      <c r="P1581" t="str">
        <f>"4170064263                    "</f>
        <v xml:space="preserve">4170064263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135.22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4</v>
      </c>
      <c r="BJ1581">
        <v>7.1</v>
      </c>
      <c r="BK1581">
        <v>7.5</v>
      </c>
      <c r="BL1581">
        <v>429.18</v>
      </c>
      <c r="BM1581">
        <v>64.38</v>
      </c>
      <c r="BN1581">
        <v>493.56</v>
      </c>
      <c r="BO1581">
        <v>493.56</v>
      </c>
      <c r="BQ1581" t="s">
        <v>303</v>
      </c>
      <c r="BR1581" t="s">
        <v>97</v>
      </c>
      <c r="BS1581" s="3">
        <v>45945</v>
      </c>
      <c r="BT1581" s="4">
        <v>0.38333333333333336</v>
      </c>
      <c r="BU1581" t="s">
        <v>1361</v>
      </c>
      <c r="BV1581" t="s">
        <v>86</v>
      </c>
      <c r="BY1581">
        <v>35700</v>
      </c>
      <c r="CA1581" t="s">
        <v>305</v>
      </c>
      <c r="CC1581" t="s">
        <v>301</v>
      </c>
      <c r="CD1581">
        <v>1748</v>
      </c>
      <c r="CE1581" t="s">
        <v>107</v>
      </c>
      <c r="CF1581" s="3">
        <v>45945</v>
      </c>
      <c r="CI1581">
        <v>1</v>
      </c>
      <c r="CJ1581">
        <v>1</v>
      </c>
      <c r="CK1581">
        <v>34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"080068518671"</f>
        <v>080068518671</v>
      </c>
      <c r="F1582" s="3">
        <v>45944</v>
      </c>
      <c r="G1582">
        <v>202607</v>
      </c>
      <c r="H1582" t="s">
        <v>79</v>
      </c>
      <c r="I1582" t="s">
        <v>80</v>
      </c>
      <c r="J1582" t="s">
        <v>91</v>
      </c>
      <c r="K1582" t="s">
        <v>78</v>
      </c>
      <c r="L1582" t="s">
        <v>92</v>
      </c>
      <c r="M1582" t="s">
        <v>93</v>
      </c>
      <c r="N1582" t="s">
        <v>1871</v>
      </c>
      <c r="O1582" t="s">
        <v>82</v>
      </c>
      <c r="P1582" t="str">
        <f>"4170064296                    "</f>
        <v xml:space="preserve">4170064296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22.36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16.739999999999998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87.7</v>
      </c>
      <c r="BM1582">
        <v>13.16</v>
      </c>
      <c r="BN1582">
        <v>100.86</v>
      </c>
      <c r="BO1582">
        <v>100.86</v>
      </c>
      <c r="BQ1582" t="s">
        <v>1872</v>
      </c>
      <c r="BR1582" t="s">
        <v>97</v>
      </c>
      <c r="BS1582" s="3">
        <v>45945</v>
      </c>
      <c r="BT1582" s="4">
        <v>0.42708333333333331</v>
      </c>
      <c r="BU1582" t="s">
        <v>1873</v>
      </c>
      <c r="BV1582" t="s">
        <v>86</v>
      </c>
      <c r="BY1582">
        <v>1200</v>
      </c>
      <c r="BZ1582" t="s">
        <v>30</v>
      </c>
      <c r="CA1582" t="s">
        <v>1699</v>
      </c>
      <c r="CC1582" t="s">
        <v>93</v>
      </c>
      <c r="CD1582">
        <v>3699</v>
      </c>
      <c r="CE1582" t="s">
        <v>147</v>
      </c>
      <c r="CF1582" s="3">
        <v>45946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"080068518693"</f>
        <v>080068518693</v>
      </c>
      <c r="F1583" s="3">
        <v>45944</v>
      </c>
      <c r="G1583">
        <v>202607</v>
      </c>
      <c r="H1583" t="s">
        <v>79</v>
      </c>
      <c r="I1583" t="s">
        <v>80</v>
      </c>
      <c r="J1583" t="s">
        <v>91</v>
      </c>
      <c r="K1583" t="s">
        <v>78</v>
      </c>
      <c r="L1583" t="s">
        <v>108</v>
      </c>
      <c r="M1583" t="s">
        <v>109</v>
      </c>
      <c r="N1583" t="s">
        <v>997</v>
      </c>
      <c r="O1583" t="s">
        <v>95</v>
      </c>
      <c r="P1583" t="str">
        <f>"4170064289                    "</f>
        <v xml:space="preserve">4170064289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59.29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24</v>
      </c>
      <c r="BJ1583">
        <v>7.2</v>
      </c>
      <c r="BK1583">
        <v>24</v>
      </c>
      <c r="BL1583">
        <v>194.06</v>
      </c>
      <c r="BM1583">
        <v>29.11</v>
      </c>
      <c r="BN1583">
        <v>223.17</v>
      </c>
      <c r="BO1583">
        <v>223.17</v>
      </c>
      <c r="BQ1583" t="s">
        <v>998</v>
      </c>
      <c r="BR1583" t="s">
        <v>97</v>
      </c>
      <c r="BS1583" s="3">
        <v>45945</v>
      </c>
      <c r="BT1583" s="4">
        <v>0.37638888888888888</v>
      </c>
      <c r="BU1583" t="s">
        <v>2344</v>
      </c>
      <c r="BV1583" t="s">
        <v>86</v>
      </c>
      <c r="BY1583">
        <v>35926</v>
      </c>
      <c r="CA1583" t="s">
        <v>2345</v>
      </c>
      <c r="CC1583" t="s">
        <v>109</v>
      </c>
      <c r="CD1583">
        <v>6001</v>
      </c>
      <c r="CE1583" t="s">
        <v>191</v>
      </c>
      <c r="CF1583" s="3">
        <v>45945</v>
      </c>
      <c r="CI1583">
        <v>3</v>
      </c>
      <c r="CJ1583">
        <v>1</v>
      </c>
      <c r="CK1583">
        <v>41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"080068518768"</f>
        <v>080068518768</v>
      </c>
      <c r="F1584" s="3">
        <v>45944</v>
      </c>
      <c r="G1584">
        <v>202607</v>
      </c>
      <c r="H1584" t="s">
        <v>79</v>
      </c>
      <c r="I1584" t="s">
        <v>80</v>
      </c>
      <c r="J1584" t="s">
        <v>91</v>
      </c>
      <c r="K1584" t="s">
        <v>78</v>
      </c>
      <c r="L1584" t="s">
        <v>121</v>
      </c>
      <c r="M1584" t="s">
        <v>122</v>
      </c>
      <c r="N1584" t="s">
        <v>123</v>
      </c>
      <c r="O1584" t="s">
        <v>82</v>
      </c>
      <c r="P1584" t="str">
        <f>"4170064284                    "</f>
        <v xml:space="preserve">4170064284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55.86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4.8</v>
      </c>
      <c r="BK1584">
        <v>5</v>
      </c>
      <c r="BL1584">
        <v>177.3</v>
      </c>
      <c r="BM1584">
        <v>26.6</v>
      </c>
      <c r="BN1584">
        <v>203.9</v>
      </c>
      <c r="BO1584">
        <v>203.9</v>
      </c>
      <c r="BQ1584" t="s">
        <v>124</v>
      </c>
      <c r="BR1584" t="s">
        <v>97</v>
      </c>
      <c r="BS1584" s="3">
        <v>45945</v>
      </c>
      <c r="BT1584" s="4">
        <v>0.34305555555555556</v>
      </c>
      <c r="BU1584" t="s">
        <v>125</v>
      </c>
      <c r="BV1584" t="s">
        <v>86</v>
      </c>
      <c r="BY1584">
        <v>23751</v>
      </c>
      <c r="CA1584" t="s">
        <v>126</v>
      </c>
      <c r="CC1584" t="s">
        <v>122</v>
      </c>
      <c r="CD1584">
        <v>4051</v>
      </c>
      <c r="CE1584" t="s">
        <v>191</v>
      </c>
      <c r="CF1584" s="3">
        <v>45945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"080068518773"</f>
        <v>080068518773</v>
      </c>
      <c r="F1585" s="3">
        <v>45944</v>
      </c>
      <c r="G1585">
        <v>202607</v>
      </c>
      <c r="H1585" t="s">
        <v>79</v>
      </c>
      <c r="I1585" t="s">
        <v>80</v>
      </c>
      <c r="J1585" t="s">
        <v>91</v>
      </c>
      <c r="K1585" t="s">
        <v>78</v>
      </c>
      <c r="L1585" t="s">
        <v>108</v>
      </c>
      <c r="M1585" t="s">
        <v>109</v>
      </c>
      <c r="N1585" t="s">
        <v>2346</v>
      </c>
      <c r="O1585" t="s">
        <v>82</v>
      </c>
      <c r="P1585" t="str">
        <f>"4170064265                    "</f>
        <v xml:space="preserve">4170064265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22.36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16.739999999999998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87.7</v>
      </c>
      <c r="BM1585">
        <v>13.16</v>
      </c>
      <c r="BN1585">
        <v>100.86</v>
      </c>
      <c r="BO1585">
        <v>100.86</v>
      </c>
      <c r="BQ1585" t="s">
        <v>2347</v>
      </c>
      <c r="BR1585" t="s">
        <v>97</v>
      </c>
      <c r="BS1585" s="3">
        <v>45945</v>
      </c>
      <c r="BT1585" s="4">
        <v>0.40069444444444446</v>
      </c>
      <c r="BU1585" t="s">
        <v>2348</v>
      </c>
      <c r="BV1585" t="s">
        <v>86</v>
      </c>
      <c r="BY1585">
        <v>1200</v>
      </c>
      <c r="BZ1585" t="s">
        <v>30</v>
      </c>
      <c r="CA1585" t="s">
        <v>142</v>
      </c>
      <c r="CC1585" t="s">
        <v>109</v>
      </c>
      <c r="CD1585">
        <v>6000</v>
      </c>
      <c r="CE1585" t="s">
        <v>147</v>
      </c>
      <c r="CF1585" s="3">
        <v>45945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"080068518812"</f>
        <v>080068518812</v>
      </c>
      <c r="F1586" s="3">
        <v>45944</v>
      </c>
      <c r="G1586">
        <v>202607</v>
      </c>
      <c r="H1586" t="s">
        <v>79</v>
      </c>
      <c r="I1586" t="s">
        <v>80</v>
      </c>
      <c r="J1586" t="s">
        <v>91</v>
      </c>
      <c r="K1586" t="s">
        <v>78</v>
      </c>
      <c r="L1586" t="s">
        <v>180</v>
      </c>
      <c r="M1586" t="s">
        <v>181</v>
      </c>
      <c r="N1586" t="s">
        <v>2349</v>
      </c>
      <c r="O1586" t="s">
        <v>82</v>
      </c>
      <c r="P1586" t="str">
        <f>"4170063876                    "</f>
        <v xml:space="preserve">4170063876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43.31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1.9</v>
      </c>
      <c r="BK1586">
        <v>2</v>
      </c>
      <c r="BL1586">
        <v>137.47</v>
      </c>
      <c r="BM1586">
        <v>20.62</v>
      </c>
      <c r="BN1586">
        <v>158.09</v>
      </c>
      <c r="BO1586">
        <v>158.09</v>
      </c>
      <c r="BQ1586" t="s">
        <v>2350</v>
      </c>
      <c r="BR1586" t="s">
        <v>97</v>
      </c>
      <c r="BS1586" s="3">
        <v>45945</v>
      </c>
      <c r="BT1586" s="4">
        <v>0.49444444444444446</v>
      </c>
      <c r="BU1586" t="s">
        <v>2351</v>
      </c>
      <c r="BV1586" t="s">
        <v>86</v>
      </c>
      <c r="BY1586">
        <v>9600</v>
      </c>
      <c r="CA1586">
        <v>8410105735081</v>
      </c>
      <c r="CC1586" t="s">
        <v>181</v>
      </c>
      <c r="CD1586">
        <v>1020</v>
      </c>
      <c r="CE1586" t="s">
        <v>191</v>
      </c>
      <c r="CF1586" s="3">
        <v>45945</v>
      </c>
      <c r="CI1586">
        <v>1</v>
      </c>
      <c r="CJ1586">
        <v>1</v>
      </c>
      <c r="CK1586">
        <v>23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"080068518878"</f>
        <v>080068518878</v>
      </c>
      <c r="F1587" s="3">
        <v>45944</v>
      </c>
      <c r="G1587">
        <v>202607</v>
      </c>
      <c r="H1587" t="s">
        <v>79</v>
      </c>
      <c r="I1587" t="s">
        <v>80</v>
      </c>
      <c r="J1587" t="s">
        <v>91</v>
      </c>
      <c r="K1587" t="s">
        <v>78</v>
      </c>
      <c r="L1587" t="s">
        <v>265</v>
      </c>
      <c r="M1587" t="s">
        <v>266</v>
      </c>
      <c r="N1587" t="s">
        <v>721</v>
      </c>
      <c r="O1587" t="s">
        <v>95</v>
      </c>
      <c r="P1587" t="str">
        <f>"4170064278                    "</f>
        <v xml:space="preserve">4170064278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46.8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2</v>
      </c>
      <c r="BI1587">
        <v>7</v>
      </c>
      <c r="BJ1587">
        <v>17</v>
      </c>
      <c r="BK1587">
        <v>17</v>
      </c>
      <c r="BL1587">
        <v>154.41</v>
      </c>
      <c r="BM1587">
        <v>23.16</v>
      </c>
      <c r="BN1587">
        <v>177.57</v>
      </c>
      <c r="BO1587">
        <v>177.57</v>
      </c>
      <c r="BQ1587" t="s">
        <v>722</v>
      </c>
      <c r="BR1587" t="s">
        <v>97</v>
      </c>
      <c r="BS1587" s="3">
        <v>45947</v>
      </c>
      <c r="BT1587" s="4">
        <v>0.40694444444444444</v>
      </c>
      <c r="BU1587" t="s">
        <v>2338</v>
      </c>
      <c r="BV1587" t="s">
        <v>86</v>
      </c>
      <c r="BY1587">
        <v>85200</v>
      </c>
      <c r="CA1587" t="s">
        <v>146</v>
      </c>
      <c r="CC1587" t="s">
        <v>266</v>
      </c>
      <c r="CD1587">
        <v>6229</v>
      </c>
      <c r="CE1587" t="s">
        <v>147</v>
      </c>
      <c r="CF1587" s="3">
        <v>45947</v>
      </c>
      <c r="CI1587">
        <v>3</v>
      </c>
      <c r="CJ1587">
        <v>3</v>
      </c>
      <c r="CK1587">
        <v>41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"080068519060"</f>
        <v>080068519060</v>
      </c>
      <c r="F1588" s="3">
        <v>45944</v>
      </c>
      <c r="G1588">
        <v>202607</v>
      </c>
      <c r="H1588" t="s">
        <v>79</v>
      </c>
      <c r="I1588" t="s">
        <v>80</v>
      </c>
      <c r="J1588" t="s">
        <v>91</v>
      </c>
      <c r="K1588" t="s">
        <v>78</v>
      </c>
      <c r="L1588" t="s">
        <v>281</v>
      </c>
      <c r="M1588" t="s">
        <v>282</v>
      </c>
      <c r="N1588" t="s">
        <v>2015</v>
      </c>
      <c r="O1588" t="s">
        <v>82</v>
      </c>
      <c r="P1588" t="str">
        <f>"4170064314                    "</f>
        <v xml:space="preserve">4170064314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53.09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2.2999999999999998</v>
      </c>
      <c r="BK1588">
        <v>2.5</v>
      </c>
      <c r="BL1588">
        <v>168.51</v>
      </c>
      <c r="BM1588">
        <v>25.28</v>
      </c>
      <c r="BN1588">
        <v>193.79</v>
      </c>
      <c r="BO1588">
        <v>193.79</v>
      </c>
      <c r="BQ1588" t="s">
        <v>2016</v>
      </c>
      <c r="BR1588" t="s">
        <v>97</v>
      </c>
      <c r="BS1588" s="3">
        <v>45945</v>
      </c>
      <c r="BT1588" s="4">
        <v>0.43541666666666667</v>
      </c>
      <c r="BU1588" t="s">
        <v>2155</v>
      </c>
      <c r="BV1588" t="s">
        <v>86</v>
      </c>
      <c r="BY1588">
        <v>11250</v>
      </c>
      <c r="CA1588" t="s">
        <v>2018</v>
      </c>
      <c r="CC1588" t="s">
        <v>282</v>
      </c>
      <c r="CD1588">
        <v>1961</v>
      </c>
      <c r="CE1588" t="s">
        <v>191</v>
      </c>
      <c r="CF1588" s="3">
        <v>45945</v>
      </c>
      <c r="CI1588">
        <v>1</v>
      </c>
      <c r="CJ1588">
        <v>1</v>
      </c>
      <c r="CK1588">
        <v>23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"080068519150"</f>
        <v>080068519150</v>
      </c>
      <c r="F1589" s="3">
        <v>45944</v>
      </c>
      <c r="G1589">
        <v>202607</v>
      </c>
      <c r="H1589" t="s">
        <v>79</v>
      </c>
      <c r="I1589" t="s">
        <v>80</v>
      </c>
      <c r="J1589" t="s">
        <v>91</v>
      </c>
      <c r="K1589" t="s">
        <v>78</v>
      </c>
      <c r="L1589" t="s">
        <v>605</v>
      </c>
      <c r="M1589" t="s">
        <v>606</v>
      </c>
      <c r="N1589" t="s">
        <v>2098</v>
      </c>
      <c r="O1589" t="s">
        <v>82</v>
      </c>
      <c r="P1589" t="str">
        <f>"4170064264                    "</f>
        <v xml:space="preserve">4170064264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43.31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137.47</v>
      </c>
      <c r="BM1589">
        <v>20.62</v>
      </c>
      <c r="BN1589">
        <v>158.09</v>
      </c>
      <c r="BO1589">
        <v>158.09</v>
      </c>
      <c r="BQ1589" t="s">
        <v>2099</v>
      </c>
      <c r="BR1589" t="s">
        <v>97</v>
      </c>
      <c r="BS1589" s="3">
        <v>45945</v>
      </c>
      <c r="BT1589" s="4">
        <v>0.34861111111111109</v>
      </c>
      <c r="BU1589" t="s">
        <v>2352</v>
      </c>
      <c r="BV1589" t="s">
        <v>86</v>
      </c>
      <c r="BY1589">
        <v>1200</v>
      </c>
      <c r="CA1589" t="s">
        <v>1143</v>
      </c>
      <c r="CC1589" t="s">
        <v>606</v>
      </c>
      <c r="CD1589">
        <v>1946</v>
      </c>
      <c r="CE1589" t="s">
        <v>147</v>
      </c>
      <c r="CF1589" s="3">
        <v>45945</v>
      </c>
      <c r="CI1589">
        <v>1</v>
      </c>
      <c r="CJ1589">
        <v>1</v>
      </c>
      <c r="CK1589">
        <v>23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"080068519266"</f>
        <v>080068519266</v>
      </c>
      <c r="F1590" s="3">
        <v>45944</v>
      </c>
      <c r="G1590">
        <v>202607</v>
      </c>
      <c r="H1590" t="s">
        <v>79</v>
      </c>
      <c r="I1590" t="s">
        <v>80</v>
      </c>
      <c r="J1590" t="s">
        <v>91</v>
      </c>
      <c r="K1590" t="s">
        <v>78</v>
      </c>
      <c r="L1590" t="s">
        <v>218</v>
      </c>
      <c r="M1590" t="s">
        <v>219</v>
      </c>
      <c r="N1590" t="s">
        <v>220</v>
      </c>
      <c r="O1590" t="s">
        <v>82</v>
      </c>
      <c r="P1590" t="str">
        <f>"4170064295                    "</f>
        <v xml:space="preserve">4170064295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17.46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55.42</v>
      </c>
      <c r="BM1590">
        <v>8.31</v>
      </c>
      <c r="BN1590">
        <v>63.73</v>
      </c>
      <c r="BO1590">
        <v>63.73</v>
      </c>
      <c r="BQ1590" t="s">
        <v>221</v>
      </c>
      <c r="BR1590" t="s">
        <v>97</v>
      </c>
      <c r="BS1590" s="3">
        <v>45945</v>
      </c>
      <c r="BT1590" s="4">
        <v>0.37291666666666667</v>
      </c>
      <c r="BU1590" t="s">
        <v>2353</v>
      </c>
      <c r="BV1590" t="s">
        <v>86</v>
      </c>
      <c r="BY1590">
        <v>1200</v>
      </c>
      <c r="CA1590" t="s">
        <v>720</v>
      </c>
      <c r="CC1590" t="s">
        <v>219</v>
      </c>
      <c r="CD1590">
        <v>1559</v>
      </c>
      <c r="CE1590" t="s">
        <v>147</v>
      </c>
      <c r="CF1590" s="3">
        <v>45945</v>
      </c>
      <c r="CI1590">
        <v>1</v>
      </c>
      <c r="CJ1590">
        <v>1</v>
      </c>
      <c r="CK1590">
        <v>22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"080068511285"</f>
        <v>080068511285</v>
      </c>
      <c r="F1591" s="3">
        <v>45944</v>
      </c>
      <c r="G1591">
        <v>202607</v>
      </c>
      <c r="H1591" t="s">
        <v>79</v>
      </c>
      <c r="I1591" t="s">
        <v>80</v>
      </c>
      <c r="J1591" t="s">
        <v>91</v>
      </c>
      <c r="K1591" t="s">
        <v>78</v>
      </c>
      <c r="L1591" t="s">
        <v>168</v>
      </c>
      <c r="M1591" t="s">
        <v>169</v>
      </c>
      <c r="N1591" t="s">
        <v>2354</v>
      </c>
      <c r="O1591" t="s">
        <v>82</v>
      </c>
      <c r="P1591" t="str">
        <f>"4170064186                    "</f>
        <v xml:space="preserve">4170064186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0</v>
      </c>
      <c r="BM1591">
        <v>0</v>
      </c>
      <c r="BN1591">
        <v>0</v>
      </c>
      <c r="BO1591">
        <v>0</v>
      </c>
      <c r="BQ1591" t="s">
        <v>2355</v>
      </c>
      <c r="BR1591" t="s">
        <v>97</v>
      </c>
      <c r="BS1591" s="3">
        <v>45944</v>
      </c>
      <c r="BT1591" s="4">
        <v>0.67708333333333337</v>
      </c>
      <c r="BU1591" t="s">
        <v>1942</v>
      </c>
      <c r="BV1591" t="s">
        <v>86</v>
      </c>
      <c r="BY1591">
        <v>1200</v>
      </c>
      <c r="BZ1591" t="s">
        <v>1947</v>
      </c>
      <c r="CA1591" t="s">
        <v>2356</v>
      </c>
      <c r="CC1591" t="s">
        <v>169</v>
      </c>
      <c r="CD1591" s="5" t="s">
        <v>2357</v>
      </c>
      <c r="CE1591" t="s">
        <v>120</v>
      </c>
      <c r="CI1591">
        <v>1</v>
      </c>
      <c r="CJ1591">
        <v>0</v>
      </c>
      <c r="CK1591">
        <v>-1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"080068511743"</f>
        <v>080068511743</v>
      </c>
      <c r="F1592" s="3">
        <v>45944</v>
      </c>
      <c r="G1592">
        <v>202607</v>
      </c>
      <c r="H1592" t="s">
        <v>79</v>
      </c>
      <c r="I1592" t="s">
        <v>80</v>
      </c>
      <c r="J1592" t="s">
        <v>1944</v>
      </c>
      <c r="K1592" t="s">
        <v>78</v>
      </c>
      <c r="L1592" t="s">
        <v>114</v>
      </c>
      <c r="M1592" t="s">
        <v>115</v>
      </c>
      <c r="N1592" t="s">
        <v>1577</v>
      </c>
      <c r="O1592" t="s">
        <v>82</v>
      </c>
      <c r="P1592" t="str">
        <f>"4170063978                    "</f>
        <v xml:space="preserve">4170063978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5</v>
      </c>
      <c r="BJ1592">
        <v>3.7</v>
      </c>
      <c r="BK1592">
        <v>5</v>
      </c>
      <c r="BL1592">
        <v>0</v>
      </c>
      <c r="BM1592">
        <v>0</v>
      </c>
      <c r="BN1592">
        <v>0</v>
      </c>
      <c r="BO1592">
        <v>0</v>
      </c>
      <c r="BQ1592" t="s">
        <v>1578</v>
      </c>
      <c r="BR1592" t="s">
        <v>1945</v>
      </c>
      <c r="BS1592" s="3">
        <v>45944</v>
      </c>
      <c r="BT1592" s="4">
        <v>0.54652777777777772</v>
      </c>
      <c r="BU1592" t="s">
        <v>1942</v>
      </c>
      <c r="BV1592" t="s">
        <v>86</v>
      </c>
      <c r="BY1592">
        <v>18522</v>
      </c>
      <c r="BZ1592" t="s">
        <v>1947</v>
      </c>
      <c r="CA1592" t="s">
        <v>2358</v>
      </c>
      <c r="CC1592" t="s">
        <v>115</v>
      </c>
      <c r="CD1592">
        <v>5201</v>
      </c>
      <c r="CE1592" t="s">
        <v>89</v>
      </c>
      <c r="CI1592">
        <v>1</v>
      </c>
      <c r="CJ1592">
        <v>0</v>
      </c>
      <c r="CK1592">
        <v>-1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"R080068437116"</f>
        <v>R080068437116</v>
      </c>
      <c r="F1593" s="3">
        <v>45945</v>
      </c>
      <c r="G1593">
        <v>202607</v>
      </c>
      <c r="H1593" t="s">
        <v>206</v>
      </c>
      <c r="I1593" t="s">
        <v>207</v>
      </c>
      <c r="J1593" t="s">
        <v>1129</v>
      </c>
      <c r="K1593" t="s">
        <v>78</v>
      </c>
      <c r="L1593" t="s">
        <v>148</v>
      </c>
      <c r="M1593" t="s">
        <v>149</v>
      </c>
      <c r="N1593" t="s">
        <v>2143</v>
      </c>
      <c r="O1593" t="s">
        <v>82</v>
      </c>
      <c r="P1593" t="str">
        <f>"4170063829                    "</f>
        <v xml:space="preserve">4170063829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22.36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0.2</v>
      </c>
      <c r="BJ1593">
        <v>0.7</v>
      </c>
      <c r="BK1593">
        <v>1</v>
      </c>
      <c r="BL1593">
        <v>70.959999999999994</v>
      </c>
      <c r="BM1593">
        <v>10.64</v>
      </c>
      <c r="BN1593">
        <v>81.599999999999994</v>
      </c>
      <c r="BO1593">
        <v>81.599999999999994</v>
      </c>
      <c r="BQ1593" t="s">
        <v>2359</v>
      </c>
      <c r="BR1593" t="s">
        <v>1130</v>
      </c>
      <c r="BS1593" s="3">
        <v>45946</v>
      </c>
      <c r="BT1593" s="4">
        <v>0.39583333333333331</v>
      </c>
      <c r="BU1593" t="s">
        <v>1462</v>
      </c>
      <c r="BV1593" t="s">
        <v>86</v>
      </c>
      <c r="BY1593">
        <v>3717.42</v>
      </c>
      <c r="CA1593" t="s">
        <v>1463</v>
      </c>
      <c r="CC1593" t="s">
        <v>149</v>
      </c>
      <c r="CD1593">
        <v>2000</v>
      </c>
      <c r="CE1593" t="s">
        <v>147</v>
      </c>
      <c r="CF1593" s="3">
        <v>45947</v>
      </c>
      <c r="CI1593">
        <v>1</v>
      </c>
      <c r="CJ1593">
        <v>1</v>
      </c>
      <c r="CK1593">
        <v>21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"080068532339"</f>
        <v>080068532339</v>
      </c>
      <c r="F1594" s="3">
        <v>45945</v>
      </c>
      <c r="G1594">
        <v>202607</v>
      </c>
      <c r="H1594" t="s">
        <v>79</v>
      </c>
      <c r="I1594" t="s">
        <v>80</v>
      </c>
      <c r="J1594" t="s">
        <v>91</v>
      </c>
      <c r="K1594" t="s">
        <v>78</v>
      </c>
      <c r="L1594" t="s">
        <v>148</v>
      </c>
      <c r="M1594" t="s">
        <v>149</v>
      </c>
      <c r="N1594" t="s">
        <v>150</v>
      </c>
      <c r="O1594" t="s">
        <v>82</v>
      </c>
      <c r="P1594" t="str">
        <f>"4170064371                    "</f>
        <v xml:space="preserve">4170064371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17.46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55.42</v>
      </c>
      <c r="BM1594">
        <v>8.31</v>
      </c>
      <c r="BN1594">
        <v>63.73</v>
      </c>
      <c r="BO1594">
        <v>63.73</v>
      </c>
      <c r="BQ1594" t="s">
        <v>151</v>
      </c>
      <c r="BR1594" t="s">
        <v>97</v>
      </c>
      <c r="BS1594" s="3">
        <v>45946</v>
      </c>
      <c r="BT1594" s="4">
        <v>0.38263888888888886</v>
      </c>
      <c r="BU1594" t="s">
        <v>2360</v>
      </c>
      <c r="BV1594" t="s">
        <v>86</v>
      </c>
      <c r="BY1594">
        <v>1200</v>
      </c>
      <c r="CA1594" t="s">
        <v>1463</v>
      </c>
      <c r="CC1594" t="s">
        <v>149</v>
      </c>
      <c r="CD1594">
        <v>2013</v>
      </c>
      <c r="CE1594" t="s">
        <v>147</v>
      </c>
      <c r="CF1594" s="3">
        <v>45947</v>
      </c>
      <c r="CI1594">
        <v>1</v>
      </c>
      <c r="CJ1594">
        <v>1</v>
      </c>
      <c r="CK1594">
        <v>22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"080068532533"</f>
        <v>080068532533</v>
      </c>
      <c r="F1595" s="3">
        <v>45945</v>
      </c>
      <c r="G1595">
        <v>202607</v>
      </c>
      <c r="H1595" t="s">
        <v>79</v>
      </c>
      <c r="I1595" t="s">
        <v>80</v>
      </c>
      <c r="J1595" t="s">
        <v>91</v>
      </c>
      <c r="K1595" t="s">
        <v>78</v>
      </c>
      <c r="L1595" t="s">
        <v>271</v>
      </c>
      <c r="M1595" t="s">
        <v>272</v>
      </c>
      <c r="N1595" t="s">
        <v>2361</v>
      </c>
      <c r="O1595" t="s">
        <v>82</v>
      </c>
      <c r="P1595" t="str">
        <f>"4170064353                    "</f>
        <v xml:space="preserve">4170064353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17.46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0.5</v>
      </c>
      <c r="BJ1595">
        <v>1.9</v>
      </c>
      <c r="BK1595">
        <v>2</v>
      </c>
      <c r="BL1595">
        <v>55.42</v>
      </c>
      <c r="BM1595">
        <v>8.31</v>
      </c>
      <c r="BN1595">
        <v>63.73</v>
      </c>
      <c r="BO1595">
        <v>63.73</v>
      </c>
      <c r="BQ1595" t="s">
        <v>2362</v>
      </c>
      <c r="BR1595" t="s">
        <v>97</v>
      </c>
      <c r="BS1595" s="3">
        <v>45946</v>
      </c>
      <c r="BT1595" s="4">
        <v>0.33333333333333331</v>
      </c>
      <c r="BU1595" t="s">
        <v>2363</v>
      </c>
      <c r="BV1595" t="s">
        <v>86</v>
      </c>
      <c r="BY1595">
        <v>9424.7999999999993</v>
      </c>
      <c r="CA1595" t="s">
        <v>2364</v>
      </c>
      <c r="CC1595" t="s">
        <v>272</v>
      </c>
      <c r="CD1595">
        <v>1401</v>
      </c>
      <c r="CE1595" t="s">
        <v>147</v>
      </c>
      <c r="CF1595" s="3">
        <v>45946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"080068532594"</f>
        <v>080068532594</v>
      </c>
      <c r="F1596" s="3">
        <v>45945</v>
      </c>
      <c r="G1596">
        <v>202607</v>
      </c>
      <c r="H1596" t="s">
        <v>79</v>
      </c>
      <c r="I1596" t="s">
        <v>80</v>
      </c>
      <c r="J1596" t="s">
        <v>91</v>
      </c>
      <c r="K1596" t="s">
        <v>78</v>
      </c>
      <c r="L1596" t="s">
        <v>79</v>
      </c>
      <c r="M1596" t="s">
        <v>80</v>
      </c>
      <c r="N1596" t="s">
        <v>539</v>
      </c>
      <c r="O1596" t="s">
        <v>82</v>
      </c>
      <c r="P1596" t="str">
        <f>"4170064345                    "</f>
        <v xml:space="preserve">4170064345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17.46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0.9</v>
      </c>
      <c r="BJ1596">
        <v>0.7</v>
      </c>
      <c r="BK1596">
        <v>1</v>
      </c>
      <c r="BL1596">
        <v>55.42</v>
      </c>
      <c r="BM1596">
        <v>8.31</v>
      </c>
      <c r="BN1596">
        <v>63.73</v>
      </c>
      <c r="BO1596">
        <v>63.73</v>
      </c>
      <c r="BQ1596" t="s">
        <v>540</v>
      </c>
      <c r="BR1596" t="s">
        <v>97</v>
      </c>
      <c r="BS1596" s="3">
        <v>45946</v>
      </c>
      <c r="BT1596" s="4">
        <v>0.41666666666666669</v>
      </c>
      <c r="BU1596" t="s">
        <v>781</v>
      </c>
      <c r="BV1596" t="s">
        <v>86</v>
      </c>
      <c r="BY1596">
        <v>3728</v>
      </c>
      <c r="CA1596" t="s">
        <v>1659</v>
      </c>
      <c r="CC1596" t="s">
        <v>80</v>
      </c>
      <c r="CD1596">
        <v>1614</v>
      </c>
      <c r="CE1596" t="s">
        <v>147</v>
      </c>
      <c r="CF1596" s="3">
        <v>45946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"080068532644"</f>
        <v>080068532644</v>
      </c>
      <c r="F1597" s="3">
        <v>45945</v>
      </c>
      <c r="G1597">
        <v>202607</v>
      </c>
      <c r="H1597" t="s">
        <v>79</v>
      </c>
      <c r="I1597" t="s">
        <v>80</v>
      </c>
      <c r="J1597" t="s">
        <v>91</v>
      </c>
      <c r="K1597" t="s">
        <v>78</v>
      </c>
      <c r="L1597" t="s">
        <v>79</v>
      </c>
      <c r="M1597" t="s">
        <v>80</v>
      </c>
      <c r="N1597" t="s">
        <v>2365</v>
      </c>
      <c r="O1597" t="s">
        <v>82</v>
      </c>
      <c r="P1597" t="str">
        <f>"4170064319                    "</f>
        <v xml:space="preserve">4170064319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17.46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0.2</v>
      </c>
      <c r="BJ1597">
        <v>0.2</v>
      </c>
      <c r="BK1597">
        <v>1</v>
      </c>
      <c r="BL1597">
        <v>55.42</v>
      </c>
      <c r="BM1597">
        <v>8.31</v>
      </c>
      <c r="BN1597">
        <v>63.73</v>
      </c>
      <c r="BO1597">
        <v>63.73</v>
      </c>
      <c r="BQ1597" t="s">
        <v>2366</v>
      </c>
      <c r="BR1597" t="s">
        <v>97</v>
      </c>
      <c r="BS1597" s="3">
        <v>45946</v>
      </c>
      <c r="BT1597" s="4">
        <v>0.36180555555555555</v>
      </c>
      <c r="BU1597" t="s">
        <v>2367</v>
      </c>
      <c r="BV1597" t="s">
        <v>86</v>
      </c>
      <c r="BY1597">
        <v>1135.68</v>
      </c>
      <c r="CA1597" t="s">
        <v>419</v>
      </c>
      <c r="CC1597" t="s">
        <v>80</v>
      </c>
      <c r="CD1597">
        <v>1666</v>
      </c>
      <c r="CE1597" t="s">
        <v>147</v>
      </c>
      <c r="CF1597" s="3">
        <v>45947</v>
      </c>
      <c r="CI1597">
        <v>1</v>
      </c>
      <c r="CJ1597">
        <v>1</v>
      </c>
      <c r="CK1597">
        <v>22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"080068532686"</f>
        <v>080068532686</v>
      </c>
      <c r="F1598" s="3">
        <v>45945</v>
      </c>
      <c r="G1598">
        <v>202607</v>
      </c>
      <c r="H1598" t="s">
        <v>79</v>
      </c>
      <c r="I1598" t="s">
        <v>80</v>
      </c>
      <c r="J1598" t="s">
        <v>91</v>
      </c>
      <c r="K1598" t="s">
        <v>78</v>
      </c>
      <c r="L1598" t="s">
        <v>206</v>
      </c>
      <c r="M1598" t="s">
        <v>207</v>
      </c>
      <c r="N1598" t="s">
        <v>2368</v>
      </c>
      <c r="O1598" t="s">
        <v>82</v>
      </c>
      <c r="P1598" t="str">
        <f>"4170064388                    "</f>
        <v xml:space="preserve">4170064388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22.36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70.959999999999994</v>
      </c>
      <c r="BM1598">
        <v>10.64</v>
      </c>
      <c r="BN1598">
        <v>81.599999999999994</v>
      </c>
      <c r="BO1598">
        <v>81.599999999999994</v>
      </c>
      <c r="BQ1598" t="s">
        <v>2369</v>
      </c>
      <c r="BR1598" t="s">
        <v>97</v>
      </c>
      <c r="BS1598" s="3">
        <v>45946</v>
      </c>
      <c r="BT1598" s="4">
        <v>0.43125000000000002</v>
      </c>
      <c r="BU1598" t="s">
        <v>2370</v>
      </c>
      <c r="BV1598" t="s">
        <v>86</v>
      </c>
      <c r="BY1598">
        <v>1200</v>
      </c>
      <c r="CA1598" t="s">
        <v>2371</v>
      </c>
      <c r="CC1598" t="s">
        <v>207</v>
      </c>
      <c r="CD1598">
        <v>7925</v>
      </c>
      <c r="CE1598" t="s">
        <v>147</v>
      </c>
      <c r="CF1598" s="3">
        <v>45947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"080068532729"</f>
        <v>080068532729</v>
      </c>
      <c r="F1599" s="3">
        <v>45945</v>
      </c>
      <c r="G1599">
        <v>202607</v>
      </c>
      <c r="H1599" t="s">
        <v>79</v>
      </c>
      <c r="I1599" t="s">
        <v>80</v>
      </c>
      <c r="J1599" t="s">
        <v>91</v>
      </c>
      <c r="K1599" t="s">
        <v>78</v>
      </c>
      <c r="L1599" t="s">
        <v>168</v>
      </c>
      <c r="M1599" t="s">
        <v>169</v>
      </c>
      <c r="N1599" t="s">
        <v>335</v>
      </c>
      <c r="O1599" t="s">
        <v>82</v>
      </c>
      <c r="P1599" t="str">
        <f>"4170064385                    "</f>
        <v xml:space="preserve">4170064385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22.36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0.2</v>
      </c>
      <c r="BJ1599">
        <v>0.5</v>
      </c>
      <c r="BK1599">
        <v>0.5</v>
      </c>
      <c r="BL1599">
        <v>70.959999999999994</v>
      </c>
      <c r="BM1599">
        <v>10.64</v>
      </c>
      <c r="BN1599">
        <v>81.599999999999994</v>
      </c>
      <c r="BO1599">
        <v>81.599999999999994</v>
      </c>
      <c r="BQ1599" t="s">
        <v>475</v>
      </c>
      <c r="BR1599" t="s">
        <v>97</v>
      </c>
      <c r="BS1599" s="3">
        <v>45946</v>
      </c>
      <c r="BT1599" s="4">
        <v>0.4375</v>
      </c>
      <c r="BU1599" t="s">
        <v>897</v>
      </c>
      <c r="BV1599" t="s">
        <v>86</v>
      </c>
      <c r="BY1599">
        <v>2721.28</v>
      </c>
      <c r="CC1599" t="s">
        <v>169</v>
      </c>
      <c r="CD1599" s="5" t="s">
        <v>190</v>
      </c>
      <c r="CE1599" t="s">
        <v>147</v>
      </c>
      <c r="CF1599" s="3">
        <v>45946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"080068532769"</f>
        <v>080068532769</v>
      </c>
      <c r="F1600" s="3">
        <v>45945</v>
      </c>
      <c r="G1600">
        <v>202607</v>
      </c>
      <c r="H1600" t="s">
        <v>79</v>
      </c>
      <c r="I1600" t="s">
        <v>80</v>
      </c>
      <c r="J1600" t="s">
        <v>91</v>
      </c>
      <c r="K1600" t="s">
        <v>78</v>
      </c>
      <c r="L1600" t="s">
        <v>265</v>
      </c>
      <c r="M1600" t="s">
        <v>266</v>
      </c>
      <c r="N1600" t="s">
        <v>536</v>
      </c>
      <c r="O1600" t="s">
        <v>82</v>
      </c>
      <c r="P1600" t="str">
        <f>"4170064330                    "</f>
        <v xml:space="preserve">4170064330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22.36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70.959999999999994</v>
      </c>
      <c r="BM1600">
        <v>10.64</v>
      </c>
      <c r="BN1600">
        <v>81.599999999999994</v>
      </c>
      <c r="BO1600">
        <v>81.599999999999994</v>
      </c>
      <c r="BQ1600" t="s">
        <v>537</v>
      </c>
      <c r="BR1600" t="s">
        <v>97</v>
      </c>
      <c r="BS1600" s="3">
        <v>45946</v>
      </c>
      <c r="BT1600" s="4">
        <v>0.33333333333333331</v>
      </c>
      <c r="BU1600" t="s">
        <v>1522</v>
      </c>
      <c r="BV1600" t="s">
        <v>86</v>
      </c>
      <c r="BY1600">
        <v>1200</v>
      </c>
      <c r="CA1600" t="s">
        <v>818</v>
      </c>
      <c r="CC1600" t="s">
        <v>266</v>
      </c>
      <c r="CD1600">
        <v>6230</v>
      </c>
      <c r="CE1600" t="s">
        <v>147</v>
      </c>
      <c r="CF1600" s="3">
        <v>45946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"080068532797"</f>
        <v>080068532797</v>
      </c>
      <c r="F1601" s="3">
        <v>45945</v>
      </c>
      <c r="G1601">
        <v>202607</v>
      </c>
      <c r="H1601" t="s">
        <v>79</v>
      </c>
      <c r="I1601" t="s">
        <v>80</v>
      </c>
      <c r="J1601" t="s">
        <v>91</v>
      </c>
      <c r="K1601" t="s">
        <v>78</v>
      </c>
      <c r="L1601" t="s">
        <v>223</v>
      </c>
      <c r="M1601" t="s">
        <v>224</v>
      </c>
      <c r="N1601" t="s">
        <v>1464</v>
      </c>
      <c r="O1601" t="s">
        <v>82</v>
      </c>
      <c r="P1601" t="str">
        <f>"4170064352                    "</f>
        <v xml:space="preserve">4170064352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17.46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1.9</v>
      </c>
      <c r="BJ1601">
        <v>0.8</v>
      </c>
      <c r="BK1601">
        <v>2</v>
      </c>
      <c r="BL1601">
        <v>55.42</v>
      </c>
      <c r="BM1601">
        <v>8.31</v>
      </c>
      <c r="BN1601">
        <v>63.73</v>
      </c>
      <c r="BO1601">
        <v>63.73</v>
      </c>
      <c r="BQ1601" t="s">
        <v>1465</v>
      </c>
      <c r="BR1601" t="s">
        <v>97</v>
      </c>
      <c r="BS1601" s="3">
        <v>45946</v>
      </c>
      <c r="BT1601" s="4">
        <v>0.40208333333333335</v>
      </c>
      <c r="BU1601" t="s">
        <v>1136</v>
      </c>
      <c r="BV1601" t="s">
        <v>86</v>
      </c>
      <c r="BY1601">
        <v>3755.5</v>
      </c>
      <c r="CA1601" t="s">
        <v>1110</v>
      </c>
      <c r="CC1601" t="s">
        <v>224</v>
      </c>
      <c r="CD1601">
        <v>1459</v>
      </c>
      <c r="CE1601" t="s">
        <v>191</v>
      </c>
      <c r="CF1601" s="3">
        <v>45946</v>
      </c>
      <c r="CI1601">
        <v>1</v>
      </c>
      <c r="CJ1601">
        <v>1</v>
      </c>
      <c r="CK1601">
        <v>22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"080068532879"</f>
        <v>080068532879</v>
      </c>
      <c r="F1602" s="3">
        <v>45945</v>
      </c>
      <c r="G1602">
        <v>202607</v>
      </c>
      <c r="H1602" t="s">
        <v>79</v>
      </c>
      <c r="I1602" t="s">
        <v>80</v>
      </c>
      <c r="J1602" t="s">
        <v>91</v>
      </c>
      <c r="K1602" t="s">
        <v>78</v>
      </c>
      <c r="L1602" t="s">
        <v>206</v>
      </c>
      <c r="M1602" t="s">
        <v>207</v>
      </c>
      <c r="N1602" t="s">
        <v>656</v>
      </c>
      <c r="O1602" t="s">
        <v>82</v>
      </c>
      <c r="P1602" t="str">
        <f>"4170064334                    "</f>
        <v xml:space="preserve">4170064334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22.36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2</v>
      </c>
      <c r="BJ1602">
        <v>1.4</v>
      </c>
      <c r="BK1602">
        <v>2</v>
      </c>
      <c r="BL1602">
        <v>70.959999999999994</v>
      </c>
      <c r="BM1602">
        <v>10.64</v>
      </c>
      <c r="BN1602">
        <v>81.599999999999994</v>
      </c>
      <c r="BO1602">
        <v>81.599999999999994</v>
      </c>
      <c r="BQ1602" t="s">
        <v>657</v>
      </c>
      <c r="BR1602" t="s">
        <v>97</v>
      </c>
      <c r="BS1602" s="3">
        <v>45946</v>
      </c>
      <c r="BT1602" s="4">
        <v>0.40833333333333333</v>
      </c>
      <c r="BU1602" t="s">
        <v>1442</v>
      </c>
      <c r="BV1602" t="s">
        <v>86</v>
      </c>
      <c r="BY1602">
        <v>7200</v>
      </c>
      <c r="CA1602" t="s">
        <v>770</v>
      </c>
      <c r="CC1602" t="s">
        <v>207</v>
      </c>
      <c r="CD1602">
        <v>7441</v>
      </c>
      <c r="CE1602" t="s">
        <v>2372</v>
      </c>
      <c r="CF1602" s="3">
        <v>45947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"080068533182"</f>
        <v>080068533182</v>
      </c>
      <c r="F1603" s="3">
        <v>45945</v>
      </c>
      <c r="G1603">
        <v>202607</v>
      </c>
      <c r="H1603" t="s">
        <v>79</v>
      </c>
      <c r="I1603" t="s">
        <v>80</v>
      </c>
      <c r="J1603" t="s">
        <v>91</v>
      </c>
      <c r="K1603" t="s">
        <v>78</v>
      </c>
      <c r="L1603" t="s">
        <v>108</v>
      </c>
      <c r="M1603" t="s">
        <v>109</v>
      </c>
      <c r="N1603" t="s">
        <v>256</v>
      </c>
      <c r="O1603" t="s">
        <v>82</v>
      </c>
      <c r="P1603" t="str">
        <f>"4170064320                    "</f>
        <v xml:space="preserve">4170064320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22.36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2</v>
      </c>
      <c r="BJ1603">
        <v>1.1000000000000001</v>
      </c>
      <c r="BK1603">
        <v>2</v>
      </c>
      <c r="BL1603">
        <v>70.959999999999994</v>
      </c>
      <c r="BM1603">
        <v>10.64</v>
      </c>
      <c r="BN1603">
        <v>81.599999999999994</v>
      </c>
      <c r="BO1603">
        <v>81.599999999999994</v>
      </c>
      <c r="BQ1603" t="s">
        <v>257</v>
      </c>
      <c r="BR1603" t="s">
        <v>97</v>
      </c>
      <c r="BS1603" s="3">
        <v>45946</v>
      </c>
      <c r="BT1603" s="4">
        <v>0.3840277777777778</v>
      </c>
      <c r="BU1603" t="s">
        <v>2373</v>
      </c>
      <c r="BV1603" t="s">
        <v>86</v>
      </c>
      <c r="BY1603">
        <v>5510</v>
      </c>
      <c r="CA1603" t="s">
        <v>142</v>
      </c>
      <c r="CC1603" t="s">
        <v>109</v>
      </c>
      <c r="CD1603">
        <v>6001</v>
      </c>
      <c r="CE1603" t="s">
        <v>191</v>
      </c>
      <c r="CF1603" s="3">
        <v>45946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"080068533231"</f>
        <v>080068533231</v>
      </c>
      <c r="F1604" s="3">
        <v>45945</v>
      </c>
      <c r="G1604">
        <v>202607</v>
      </c>
      <c r="H1604" t="s">
        <v>79</v>
      </c>
      <c r="I1604" t="s">
        <v>80</v>
      </c>
      <c r="J1604" t="s">
        <v>91</v>
      </c>
      <c r="K1604" t="s">
        <v>78</v>
      </c>
      <c r="L1604" t="s">
        <v>79</v>
      </c>
      <c r="M1604" t="s">
        <v>80</v>
      </c>
      <c r="N1604" t="s">
        <v>911</v>
      </c>
      <c r="O1604" t="s">
        <v>82</v>
      </c>
      <c r="P1604" t="str">
        <f>"4170064343                    "</f>
        <v xml:space="preserve">4170064343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17.46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0.6</v>
      </c>
      <c r="BJ1604">
        <v>1.1000000000000001</v>
      </c>
      <c r="BK1604">
        <v>2</v>
      </c>
      <c r="BL1604">
        <v>55.42</v>
      </c>
      <c r="BM1604">
        <v>8.31</v>
      </c>
      <c r="BN1604">
        <v>63.73</v>
      </c>
      <c r="BO1604">
        <v>63.73</v>
      </c>
      <c r="BQ1604" t="s">
        <v>912</v>
      </c>
      <c r="BR1604" t="s">
        <v>97</v>
      </c>
      <c r="BS1604" s="3">
        <v>45946</v>
      </c>
      <c r="BT1604" s="4">
        <v>0.37847222222222221</v>
      </c>
      <c r="BU1604" t="s">
        <v>1512</v>
      </c>
      <c r="BV1604" t="s">
        <v>86</v>
      </c>
      <c r="BY1604">
        <v>5450.63</v>
      </c>
      <c r="CA1604" t="s">
        <v>419</v>
      </c>
      <c r="CC1604" t="s">
        <v>80</v>
      </c>
      <c r="CD1604">
        <v>1665</v>
      </c>
      <c r="CE1604" t="s">
        <v>147</v>
      </c>
      <c r="CF1604" s="3">
        <v>45947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"080068533240"</f>
        <v>080068533240</v>
      </c>
      <c r="F1605" s="3">
        <v>45945</v>
      </c>
      <c r="G1605">
        <v>202607</v>
      </c>
      <c r="H1605" t="s">
        <v>79</v>
      </c>
      <c r="I1605" t="s">
        <v>80</v>
      </c>
      <c r="J1605" t="s">
        <v>91</v>
      </c>
      <c r="K1605" t="s">
        <v>78</v>
      </c>
      <c r="L1605" t="s">
        <v>218</v>
      </c>
      <c r="M1605" t="s">
        <v>219</v>
      </c>
      <c r="N1605" t="s">
        <v>682</v>
      </c>
      <c r="O1605" t="s">
        <v>95</v>
      </c>
      <c r="P1605" t="str">
        <f>"4170064329                    "</f>
        <v xml:space="preserve">4170064329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33.36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1.9</v>
      </c>
      <c r="BJ1605">
        <v>1.2</v>
      </c>
      <c r="BK1605">
        <v>2</v>
      </c>
      <c r="BL1605">
        <v>111.75</v>
      </c>
      <c r="BM1605">
        <v>16.760000000000002</v>
      </c>
      <c r="BN1605">
        <v>128.51</v>
      </c>
      <c r="BO1605">
        <v>128.51</v>
      </c>
      <c r="BQ1605" t="s">
        <v>683</v>
      </c>
      <c r="BR1605" t="s">
        <v>97</v>
      </c>
      <c r="BS1605" s="3">
        <v>45946</v>
      </c>
      <c r="BT1605" s="4">
        <v>0.30416666666666664</v>
      </c>
      <c r="BU1605" t="s">
        <v>2374</v>
      </c>
      <c r="BV1605" t="s">
        <v>86</v>
      </c>
      <c r="BY1605">
        <v>6115.5</v>
      </c>
      <c r="CA1605" t="s">
        <v>1434</v>
      </c>
      <c r="CC1605" t="s">
        <v>219</v>
      </c>
      <c r="CD1605">
        <v>1559</v>
      </c>
      <c r="CE1605" t="s">
        <v>931</v>
      </c>
      <c r="CF1605" s="3">
        <v>45946</v>
      </c>
      <c r="CI1605">
        <v>1</v>
      </c>
      <c r="CJ1605">
        <v>1</v>
      </c>
      <c r="CK1605">
        <v>42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"080068533277"</f>
        <v>080068533277</v>
      </c>
      <c r="F1606" s="3">
        <v>45945</v>
      </c>
      <c r="G1606">
        <v>202607</v>
      </c>
      <c r="H1606" t="s">
        <v>79</v>
      </c>
      <c r="I1606" t="s">
        <v>80</v>
      </c>
      <c r="J1606" t="s">
        <v>91</v>
      </c>
      <c r="K1606" t="s">
        <v>78</v>
      </c>
      <c r="L1606" t="s">
        <v>92</v>
      </c>
      <c r="M1606" t="s">
        <v>93</v>
      </c>
      <c r="N1606" t="s">
        <v>1876</v>
      </c>
      <c r="O1606" t="s">
        <v>82</v>
      </c>
      <c r="P1606" t="str">
        <f>"4170064377                    "</f>
        <v xml:space="preserve">4170064377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22.36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70.959999999999994</v>
      </c>
      <c r="BM1606">
        <v>10.64</v>
      </c>
      <c r="BN1606">
        <v>81.599999999999994</v>
      </c>
      <c r="BO1606">
        <v>81.599999999999994</v>
      </c>
      <c r="BQ1606" t="s">
        <v>1877</v>
      </c>
      <c r="BR1606" t="s">
        <v>97</v>
      </c>
      <c r="BS1606" s="3">
        <v>45946</v>
      </c>
      <c r="BT1606" s="4">
        <v>0.38958333333333334</v>
      </c>
      <c r="BU1606" t="s">
        <v>2375</v>
      </c>
      <c r="BV1606" t="s">
        <v>86</v>
      </c>
      <c r="BY1606">
        <v>1200</v>
      </c>
      <c r="CA1606" t="s">
        <v>100</v>
      </c>
      <c r="CC1606" t="s">
        <v>93</v>
      </c>
      <c r="CD1606">
        <v>3201</v>
      </c>
      <c r="CE1606" t="s">
        <v>147</v>
      </c>
      <c r="CF1606" s="3">
        <v>45947</v>
      </c>
      <c r="CI1606">
        <v>5</v>
      </c>
      <c r="CJ1606">
        <v>1</v>
      </c>
      <c r="CK1606">
        <v>21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"080068533310"</f>
        <v>080068533310</v>
      </c>
      <c r="F1607" s="3">
        <v>45945</v>
      </c>
      <c r="G1607">
        <v>202607</v>
      </c>
      <c r="H1607" t="s">
        <v>79</v>
      </c>
      <c r="I1607" t="s">
        <v>80</v>
      </c>
      <c r="J1607" t="s">
        <v>91</v>
      </c>
      <c r="K1607" t="s">
        <v>78</v>
      </c>
      <c r="L1607" t="s">
        <v>1736</v>
      </c>
      <c r="M1607" t="s">
        <v>1737</v>
      </c>
      <c r="N1607" t="s">
        <v>2376</v>
      </c>
      <c r="O1607" t="s">
        <v>82</v>
      </c>
      <c r="P1607" t="str">
        <f>"4170064332                    "</f>
        <v xml:space="preserve">4170064332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22.36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70.959999999999994</v>
      </c>
      <c r="BM1607">
        <v>10.64</v>
      </c>
      <c r="BN1607">
        <v>81.599999999999994</v>
      </c>
      <c r="BO1607">
        <v>81.599999999999994</v>
      </c>
      <c r="BQ1607" t="s">
        <v>2377</v>
      </c>
      <c r="BR1607" t="s">
        <v>97</v>
      </c>
      <c r="BS1607" s="3">
        <v>45946</v>
      </c>
      <c r="BT1607" s="4">
        <v>0.3888888888888889</v>
      </c>
      <c r="BU1607" t="s">
        <v>2378</v>
      </c>
      <c r="BV1607" t="s">
        <v>86</v>
      </c>
      <c r="BY1607">
        <v>1200</v>
      </c>
      <c r="CA1607" t="s">
        <v>157</v>
      </c>
      <c r="CC1607" t="s">
        <v>1737</v>
      </c>
      <c r="CD1607">
        <v>4026</v>
      </c>
      <c r="CE1607" t="s">
        <v>147</v>
      </c>
      <c r="CF1607" s="3">
        <v>45946</v>
      </c>
      <c r="CI1607">
        <v>1</v>
      </c>
      <c r="CJ1607">
        <v>1</v>
      </c>
      <c r="CK1607">
        <v>21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"080068533340"</f>
        <v>080068533340</v>
      </c>
      <c r="F1608" s="3">
        <v>45945</v>
      </c>
      <c r="G1608">
        <v>202607</v>
      </c>
      <c r="H1608" t="s">
        <v>79</v>
      </c>
      <c r="I1608" t="s">
        <v>80</v>
      </c>
      <c r="J1608" t="s">
        <v>91</v>
      </c>
      <c r="K1608" t="s">
        <v>78</v>
      </c>
      <c r="L1608" t="s">
        <v>114</v>
      </c>
      <c r="M1608" t="s">
        <v>115</v>
      </c>
      <c r="N1608" t="s">
        <v>746</v>
      </c>
      <c r="O1608" t="s">
        <v>82</v>
      </c>
      <c r="P1608" t="str">
        <f>"4170064335                    "</f>
        <v xml:space="preserve">4170064335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22.36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70.959999999999994</v>
      </c>
      <c r="BM1608">
        <v>10.64</v>
      </c>
      <c r="BN1608">
        <v>81.599999999999994</v>
      </c>
      <c r="BO1608">
        <v>81.599999999999994</v>
      </c>
      <c r="BQ1608" t="s">
        <v>747</v>
      </c>
      <c r="BR1608" t="s">
        <v>97</v>
      </c>
      <c r="BS1608" s="3">
        <v>45946</v>
      </c>
      <c r="BT1608" s="4">
        <v>0.46527777777777779</v>
      </c>
      <c r="BU1608" t="s">
        <v>2379</v>
      </c>
      <c r="BV1608" t="s">
        <v>90</v>
      </c>
      <c r="BY1608">
        <v>1200</v>
      </c>
      <c r="CA1608" t="s">
        <v>749</v>
      </c>
      <c r="CC1608" t="s">
        <v>115</v>
      </c>
      <c r="CD1608">
        <v>5200</v>
      </c>
      <c r="CE1608" t="s">
        <v>147</v>
      </c>
      <c r="CF1608" s="3">
        <v>45947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"080068533366"</f>
        <v>080068533366</v>
      </c>
      <c r="F1609" s="3">
        <v>45945</v>
      </c>
      <c r="G1609">
        <v>202607</v>
      </c>
      <c r="H1609" t="s">
        <v>79</v>
      </c>
      <c r="I1609" t="s">
        <v>80</v>
      </c>
      <c r="J1609" t="s">
        <v>91</v>
      </c>
      <c r="K1609" t="s">
        <v>78</v>
      </c>
      <c r="L1609" t="s">
        <v>108</v>
      </c>
      <c r="M1609" t="s">
        <v>109</v>
      </c>
      <c r="N1609" t="s">
        <v>379</v>
      </c>
      <c r="O1609" t="s">
        <v>82</v>
      </c>
      <c r="P1609" t="str">
        <f>"4170064369                    "</f>
        <v xml:space="preserve">4170064369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22.36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70.959999999999994</v>
      </c>
      <c r="BM1609">
        <v>10.64</v>
      </c>
      <c r="BN1609">
        <v>81.599999999999994</v>
      </c>
      <c r="BO1609">
        <v>81.599999999999994</v>
      </c>
      <c r="BQ1609" t="s">
        <v>380</v>
      </c>
      <c r="BR1609" t="s">
        <v>97</v>
      </c>
      <c r="BS1609" s="3">
        <v>45946</v>
      </c>
      <c r="BT1609" s="4">
        <v>0.43472222222222223</v>
      </c>
      <c r="BU1609" t="s">
        <v>381</v>
      </c>
      <c r="BV1609" t="s">
        <v>86</v>
      </c>
      <c r="BY1609">
        <v>1200</v>
      </c>
      <c r="CA1609" t="s">
        <v>113</v>
      </c>
      <c r="CC1609" t="s">
        <v>109</v>
      </c>
      <c r="CD1609">
        <v>6001</v>
      </c>
      <c r="CE1609" t="s">
        <v>147</v>
      </c>
      <c r="CF1609" s="3">
        <v>45946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"080068533395"</f>
        <v>080068533395</v>
      </c>
      <c r="F1610" s="3">
        <v>45945</v>
      </c>
      <c r="G1610">
        <v>202607</v>
      </c>
      <c r="H1610" t="s">
        <v>79</v>
      </c>
      <c r="I1610" t="s">
        <v>80</v>
      </c>
      <c r="J1610" t="s">
        <v>91</v>
      </c>
      <c r="K1610" t="s">
        <v>78</v>
      </c>
      <c r="L1610" t="s">
        <v>121</v>
      </c>
      <c r="M1610" t="s">
        <v>122</v>
      </c>
      <c r="N1610" t="s">
        <v>154</v>
      </c>
      <c r="O1610" t="s">
        <v>82</v>
      </c>
      <c r="P1610" t="str">
        <f>"4170064312                    "</f>
        <v xml:space="preserve">4170064312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22.36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70.959999999999994</v>
      </c>
      <c r="BM1610">
        <v>10.64</v>
      </c>
      <c r="BN1610">
        <v>81.599999999999994</v>
      </c>
      <c r="BO1610">
        <v>81.599999999999994</v>
      </c>
      <c r="BQ1610" t="s">
        <v>155</v>
      </c>
      <c r="BR1610" t="s">
        <v>97</v>
      </c>
      <c r="BS1610" s="3">
        <v>45946</v>
      </c>
      <c r="BT1610" s="4">
        <v>0.41111111111111109</v>
      </c>
      <c r="BU1610" t="s">
        <v>156</v>
      </c>
      <c r="BV1610" t="s">
        <v>86</v>
      </c>
      <c r="BY1610">
        <v>1200</v>
      </c>
      <c r="CC1610" t="s">
        <v>122</v>
      </c>
      <c r="CD1610">
        <v>4052</v>
      </c>
      <c r="CE1610" t="s">
        <v>147</v>
      </c>
      <c r="CF1610" s="3">
        <v>45946</v>
      </c>
      <c r="CI1610">
        <v>1</v>
      </c>
      <c r="CJ1610">
        <v>1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"080068533486"</f>
        <v>080068533486</v>
      </c>
      <c r="F1611" s="3">
        <v>45945</v>
      </c>
      <c r="G1611">
        <v>202607</v>
      </c>
      <c r="H1611" t="s">
        <v>79</v>
      </c>
      <c r="I1611" t="s">
        <v>80</v>
      </c>
      <c r="J1611" t="s">
        <v>91</v>
      </c>
      <c r="K1611" t="s">
        <v>78</v>
      </c>
      <c r="L1611" t="s">
        <v>108</v>
      </c>
      <c r="M1611" t="s">
        <v>109</v>
      </c>
      <c r="N1611" t="s">
        <v>2380</v>
      </c>
      <c r="O1611" t="s">
        <v>82</v>
      </c>
      <c r="P1611" t="str">
        <f>"4170064370                    "</f>
        <v xml:space="preserve">4170064370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22.36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70.959999999999994</v>
      </c>
      <c r="BM1611">
        <v>10.64</v>
      </c>
      <c r="BN1611">
        <v>81.599999999999994</v>
      </c>
      <c r="BO1611">
        <v>81.599999999999994</v>
      </c>
      <c r="BQ1611" t="s">
        <v>2381</v>
      </c>
      <c r="BR1611" t="s">
        <v>97</v>
      </c>
      <c r="BS1611" s="3">
        <v>45946</v>
      </c>
      <c r="BT1611" s="4">
        <v>0.4236111111111111</v>
      </c>
      <c r="BU1611" t="s">
        <v>2382</v>
      </c>
      <c r="BV1611" t="s">
        <v>86</v>
      </c>
      <c r="BY1611">
        <v>1200</v>
      </c>
      <c r="CA1611" t="s">
        <v>1000</v>
      </c>
      <c r="CC1611" t="s">
        <v>109</v>
      </c>
      <c r="CD1611">
        <v>6001</v>
      </c>
      <c r="CE1611" t="s">
        <v>147</v>
      </c>
      <c r="CF1611" s="3">
        <v>45946</v>
      </c>
      <c r="CI1611">
        <v>1</v>
      </c>
      <c r="CJ1611">
        <v>1</v>
      </c>
      <c r="CK1611">
        <v>21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"080068533508"</f>
        <v>080068533508</v>
      </c>
      <c r="F1612" s="3">
        <v>45945</v>
      </c>
      <c r="G1612">
        <v>202607</v>
      </c>
      <c r="H1612" t="s">
        <v>79</v>
      </c>
      <c r="I1612" t="s">
        <v>80</v>
      </c>
      <c r="J1612" t="s">
        <v>91</v>
      </c>
      <c r="K1612" t="s">
        <v>78</v>
      </c>
      <c r="L1612" t="s">
        <v>1508</v>
      </c>
      <c r="M1612" t="s">
        <v>1509</v>
      </c>
      <c r="N1612" t="s">
        <v>1660</v>
      </c>
      <c r="O1612" t="s">
        <v>82</v>
      </c>
      <c r="P1612" t="str">
        <f>"4170064347                    "</f>
        <v xml:space="preserve">4170064347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43.31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0.2</v>
      </c>
      <c r="BJ1612">
        <v>0.7</v>
      </c>
      <c r="BK1612">
        <v>1</v>
      </c>
      <c r="BL1612">
        <v>137.47</v>
      </c>
      <c r="BM1612">
        <v>20.62</v>
      </c>
      <c r="BN1612">
        <v>158.09</v>
      </c>
      <c r="BO1612">
        <v>158.09</v>
      </c>
      <c r="BQ1612" t="s">
        <v>1661</v>
      </c>
      <c r="BR1612" t="s">
        <v>97</v>
      </c>
      <c r="BS1612" s="3">
        <v>45946</v>
      </c>
      <c r="BT1612" s="4">
        <v>0.63888888888888884</v>
      </c>
      <c r="BU1612" t="s">
        <v>2383</v>
      </c>
      <c r="BV1612" t="s">
        <v>86</v>
      </c>
      <c r="BY1612">
        <v>3274.83</v>
      </c>
      <c r="CA1612" t="s">
        <v>2384</v>
      </c>
      <c r="CC1612" t="s">
        <v>1509</v>
      </c>
      <c r="CD1612">
        <v>3370</v>
      </c>
      <c r="CE1612" t="s">
        <v>147</v>
      </c>
      <c r="CF1612" s="3">
        <v>45947</v>
      </c>
      <c r="CI1612">
        <v>2</v>
      </c>
      <c r="CJ1612">
        <v>1</v>
      </c>
      <c r="CK1612">
        <v>23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"080068533533"</f>
        <v>080068533533</v>
      </c>
      <c r="F1613" s="3">
        <v>45945</v>
      </c>
      <c r="G1613">
        <v>202607</v>
      </c>
      <c r="H1613" t="s">
        <v>79</v>
      </c>
      <c r="I1613" t="s">
        <v>80</v>
      </c>
      <c r="J1613" t="s">
        <v>91</v>
      </c>
      <c r="K1613" t="s">
        <v>78</v>
      </c>
      <c r="L1613" t="s">
        <v>114</v>
      </c>
      <c r="M1613" t="s">
        <v>115</v>
      </c>
      <c r="N1613" t="s">
        <v>746</v>
      </c>
      <c r="O1613" t="s">
        <v>82</v>
      </c>
      <c r="P1613" t="str">
        <f>"4170064340                    "</f>
        <v xml:space="preserve">4170064340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22.36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70.959999999999994</v>
      </c>
      <c r="BM1613">
        <v>10.64</v>
      </c>
      <c r="BN1613">
        <v>81.599999999999994</v>
      </c>
      <c r="BO1613">
        <v>81.599999999999994</v>
      </c>
      <c r="BQ1613" t="s">
        <v>747</v>
      </c>
      <c r="BR1613" t="s">
        <v>97</v>
      </c>
      <c r="BS1613" s="3">
        <v>45946</v>
      </c>
      <c r="BT1613" s="4">
        <v>0.46527777777777779</v>
      </c>
      <c r="BU1613" t="s">
        <v>2379</v>
      </c>
      <c r="BV1613" t="s">
        <v>90</v>
      </c>
      <c r="BY1613">
        <v>1200</v>
      </c>
      <c r="CA1613" t="s">
        <v>749</v>
      </c>
      <c r="CC1613" t="s">
        <v>115</v>
      </c>
      <c r="CD1613">
        <v>5200</v>
      </c>
      <c r="CE1613" t="s">
        <v>147</v>
      </c>
      <c r="CF1613" s="3">
        <v>45947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"080068533552"</f>
        <v>080068533552</v>
      </c>
      <c r="F1614" s="3">
        <v>45945</v>
      </c>
      <c r="G1614">
        <v>202607</v>
      </c>
      <c r="H1614" t="s">
        <v>79</v>
      </c>
      <c r="I1614" t="s">
        <v>80</v>
      </c>
      <c r="J1614" t="s">
        <v>91</v>
      </c>
      <c r="K1614" t="s">
        <v>78</v>
      </c>
      <c r="L1614" t="s">
        <v>121</v>
      </c>
      <c r="M1614" t="s">
        <v>122</v>
      </c>
      <c r="N1614" t="s">
        <v>154</v>
      </c>
      <c r="O1614" t="s">
        <v>82</v>
      </c>
      <c r="P1614" t="str">
        <f>"4170064338                    "</f>
        <v xml:space="preserve">4170064338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22.36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70.959999999999994</v>
      </c>
      <c r="BM1614">
        <v>10.64</v>
      </c>
      <c r="BN1614">
        <v>81.599999999999994</v>
      </c>
      <c r="BO1614">
        <v>81.599999999999994</v>
      </c>
      <c r="BQ1614" t="s">
        <v>155</v>
      </c>
      <c r="BR1614" t="s">
        <v>97</v>
      </c>
      <c r="BS1614" s="3">
        <v>45946</v>
      </c>
      <c r="BT1614" s="4">
        <v>0.76458333333333328</v>
      </c>
      <c r="BU1614" t="s">
        <v>156</v>
      </c>
      <c r="BV1614" t="s">
        <v>90</v>
      </c>
      <c r="BW1614" t="s">
        <v>136</v>
      </c>
      <c r="BX1614" t="s">
        <v>787</v>
      </c>
      <c r="BY1614">
        <v>1200</v>
      </c>
      <c r="CA1614" t="s">
        <v>157</v>
      </c>
      <c r="CC1614" t="s">
        <v>122</v>
      </c>
      <c r="CD1614">
        <v>4052</v>
      </c>
      <c r="CE1614" t="s">
        <v>147</v>
      </c>
      <c r="CF1614" s="3">
        <v>45946</v>
      </c>
      <c r="CI1614">
        <v>1</v>
      </c>
      <c r="CJ1614">
        <v>1</v>
      </c>
      <c r="CK1614">
        <v>21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"080068534057"</f>
        <v>080068534057</v>
      </c>
      <c r="F1615" s="3">
        <v>45945</v>
      </c>
      <c r="G1615">
        <v>202607</v>
      </c>
      <c r="H1615" t="s">
        <v>79</v>
      </c>
      <c r="I1615" t="s">
        <v>80</v>
      </c>
      <c r="J1615" t="s">
        <v>91</v>
      </c>
      <c r="K1615" t="s">
        <v>78</v>
      </c>
      <c r="L1615" t="s">
        <v>79</v>
      </c>
      <c r="M1615" t="s">
        <v>80</v>
      </c>
      <c r="N1615" t="s">
        <v>2385</v>
      </c>
      <c r="O1615" t="s">
        <v>82</v>
      </c>
      <c r="P1615" t="str">
        <f>"4170064328                    "</f>
        <v xml:space="preserve">4170064328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17.46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55.42</v>
      </c>
      <c r="BM1615">
        <v>8.31</v>
      </c>
      <c r="BN1615">
        <v>63.73</v>
      </c>
      <c r="BO1615">
        <v>63.73</v>
      </c>
      <c r="BQ1615" t="s">
        <v>2386</v>
      </c>
      <c r="BR1615" t="s">
        <v>97</v>
      </c>
      <c r="BS1615" s="3">
        <v>45946</v>
      </c>
      <c r="BT1615" s="4">
        <v>0.375</v>
      </c>
      <c r="BU1615" t="s">
        <v>2387</v>
      </c>
      <c r="BV1615" t="s">
        <v>86</v>
      </c>
      <c r="BY1615">
        <v>1200</v>
      </c>
      <c r="CA1615" t="s">
        <v>88</v>
      </c>
      <c r="CC1615" t="s">
        <v>80</v>
      </c>
      <c r="CD1615">
        <v>1600</v>
      </c>
      <c r="CE1615" t="s">
        <v>147</v>
      </c>
      <c r="CF1615" s="3">
        <v>45946</v>
      </c>
      <c r="CI1615">
        <v>1</v>
      </c>
      <c r="CJ1615">
        <v>1</v>
      </c>
      <c r="CK1615">
        <v>22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"080068534078"</f>
        <v>080068534078</v>
      </c>
      <c r="F1616" s="3">
        <v>45945</v>
      </c>
      <c r="G1616">
        <v>202607</v>
      </c>
      <c r="H1616" t="s">
        <v>79</v>
      </c>
      <c r="I1616" t="s">
        <v>80</v>
      </c>
      <c r="J1616" t="s">
        <v>91</v>
      </c>
      <c r="K1616" t="s">
        <v>78</v>
      </c>
      <c r="L1616" t="s">
        <v>180</v>
      </c>
      <c r="M1616" t="s">
        <v>181</v>
      </c>
      <c r="N1616" t="s">
        <v>182</v>
      </c>
      <c r="O1616" t="s">
        <v>82</v>
      </c>
      <c r="P1616" t="str">
        <f>"4170064365                    "</f>
        <v xml:space="preserve">4170064365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43.31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1.9</v>
      </c>
      <c r="BK1616">
        <v>2</v>
      </c>
      <c r="BL1616">
        <v>137.47</v>
      </c>
      <c r="BM1616">
        <v>20.62</v>
      </c>
      <c r="BN1616">
        <v>158.09</v>
      </c>
      <c r="BO1616">
        <v>158.09</v>
      </c>
      <c r="BQ1616" t="s">
        <v>183</v>
      </c>
      <c r="BR1616" t="s">
        <v>97</v>
      </c>
      <c r="BS1616" s="3">
        <v>45946</v>
      </c>
      <c r="BT1616" s="4">
        <v>0.60555555555555551</v>
      </c>
      <c r="BU1616" t="s">
        <v>2388</v>
      </c>
      <c r="BV1616" t="s">
        <v>86</v>
      </c>
      <c r="BY1616">
        <v>9357.36</v>
      </c>
      <c r="CC1616" t="s">
        <v>181</v>
      </c>
      <c r="CD1616">
        <v>1028</v>
      </c>
      <c r="CE1616" t="s">
        <v>147</v>
      </c>
      <c r="CF1616" s="3">
        <v>45946</v>
      </c>
      <c r="CI1616">
        <v>1</v>
      </c>
      <c r="CJ1616">
        <v>1</v>
      </c>
      <c r="CK1616">
        <v>23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"080068534099"</f>
        <v>080068534099</v>
      </c>
      <c r="F1617" s="3">
        <v>45945</v>
      </c>
      <c r="G1617">
        <v>202607</v>
      </c>
      <c r="H1617" t="s">
        <v>79</v>
      </c>
      <c r="I1617" t="s">
        <v>80</v>
      </c>
      <c r="J1617" t="s">
        <v>91</v>
      </c>
      <c r="K1617" t="s">
        <v>78</v>
      </c>
      <c r="L1617" t="s">
        <v>884</v>
      </c>
      <c r="M1617" t="s">
        <v>885</v>
      </c>
      <c r="N1617" t="s">
        <v>886</v>
      </c>
      <c r="O1617" t="s">
        <v>82</v>
      </c>
      <c r="P1617" t="str">
        <f>"4170064346                    "</f>
        <v xml:space="preserve">4170064346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43.31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0.2</v>
      </c>
      <c r="BJ1617">
        <v>1</v>
      </c>
      <c r="BK1617">
        <v>1</v>
      </c>
      <c r="BL1617">
        <v>137.47</v>
      </c>
      <c r="BM1617">
        <v>20.62</v>
      </c>
      <c r="BN1617">
        <v>158.09</v>
      </c>
      <c r="BO1617">
        <v>158.09</v>
      </c>
      <c r="BQ1617" t="s">
        <v>887</v>
      </c>
      <c r="BR1617" t="s">
        <v>97</v>
      </c>
      <c r="BS1617" s="3">
        <v>45946</v>
      </c>
      <c r="BT1617" s="4">
        <v>0.33333333333333331</v>
      </c>
      <c r="BU1617" t="s">
        <v>2389</v>
      </c>
      <c r="BV1617" t="s">
        <v>86</v>
      </c>
      <c r="BY1617">
        <v>5231.1000000000004</v>
      </c>
      <c r="CC1617" t="s">
        <v>885</v>
      </c>
      <c r="CD1617">
        <v>2740</v>
      </c>
      <c r="CE1617" t="s">
        <v>147</v>
      </c>
      <c r="CF1617" s="3">
        <v>45947</v>
      </c>
      <c r="CI1617">
        <v>1</v>
      </c>
      <c r="CJ1617">
        <v>1</v>
      </c>
      <c r="CK1617">
        <v>23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"080068534101"</f>
        <v>080068534101</v>
      </c>
      <c r="F1618" s="3">
        <v>45945</v>
      </c>
      <c r="G1618">
        <v>202607</v>
      </c>
      <c r="H1618" t="s">
        <v>79</v>
      </c>
      <c r="I1618" t="s">
        <v>80</v>
      </c>
      <c r="J1618" t="s">
        <v>91</v>
      </c>
      <c r="K1618" t="s">
        <v>78</v>
      </c>
      <c r="L1618" t="s">
        <v>453</v>
      </c>
      <c r="M1618" t="s">
        <v>454</v>
      </c>
      <c r="N1618" t="s">
        <v>665</v>
      </c>
      <c r="O1618" t="s">
        <v>82</v>
      </c>
      <c r="P1618" t="str">
        <f>"4170064383                    "</f>
        <v xml:space="preserve">4170064383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61.45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2.2000000000000002</v>
      </c>
      <c r="BJ1618">
        <v>5.0999999999999996</v>
      </c>
      <c r="BK1618">
        <v>5.5</v>
      </c>
      <c r="BL1618">
        <v>195.03</v>
      </c>
      <c r="BM1618">
        <v>29.25</v>
      </c>
      <c r="BN1618">
        <v>224.28</v>
      </c>
      <c r="BO1618">
        <v>224.28</v>
      </c>
      <c r="BQ1618" t="s">
        <v>666</v>
      </c>
      <c r="BR1618" t="s">
        <v>97</v>
      </c>
      <c r="BS1618" s="3">
        <v>45946</v>
      </c>
      <c r="BT1618" s="4">
        <v>0.42083333333333334</v>
      </c>
      <c r="BU1618" t="s">
        <v>2390</v>
      </c>
      <c r="BV1618" t="s">
        <v>86</v>
      </c>
      <c r="BY1618">
        <v>25525.4</v>
      </c>
      <c r="CA1618" t="s">
        <v>2391</v>
      </c>
      <c r="CC1618" t="s">
        <v>454</v>
      </c>
      <c r="CD1618">
        <v>3610</v>
      </c>
      <c r="CE1618" t="s">
        <v>107</v>
      </c>
      <c r="CF1618" s="3">
        <v>45947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"080068534121"</f>
        <v>080068534121</v>
      </c>
      <c r="F1619" s="3">
        <v>45945</v>
      </c>
      <c r="G1619">
        <v>202607</v>
      </c>
      <c r="H1619" t="s">
        <v>79</v>
      </c>
      <c r="I1619" t="s">
        <v>80</v>
      </c>
      <c r="J1619" t="s">
        <v>91</v>
      </c>
      <c r="K1619" t="s">
        <v>78</v>
      </c>
      <c r="L1619" t="s">
        <v>2325</v>
      </c>
      <c r="M1619" t="s">
        <v>2326</v>
      </c>
      <c r="N1619" t="s">
        <v>2392</v>
      </c>
      <c r="O1619" t="s">
        <v>82</v>
      </c>
      <c r="P1619" t="str">
        <f>"4170064333                    "</f>
        <v xml:space="preserve">4170064333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43.31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137.47</v>
      </c>
      <c r="BM1619">
        <v>20.62</v>
      </c>
      <c r="BN1619">
        <v>158.09</v>
      </c>
      <c r="BO1619">
        <v>158.09</v>
      </c>
      <c r="BQ1619" t="s">
        <v>2328</v>
      </c>
      <c r="BR1619" t="s">
        <v>97</v>
      </c>
      <c r="BS1619" s="3">
        <v>45950</v>
      </c>
      <c r="BT1619" s="4">
        <v>0.46180555555555558</v>
      </c>
      <c r="BU1619" t="s">
        <v>2393</v>
      </c>
      <c r="BV1619" t="s">
        <v>90</v>
      </c>
      <c r="BW1619" t="s">
        <v>136</v>
      </c>
      <c r="BX1619" t="s">
        <v>137</v>
      </c>
      <c r="BY1619">
        <v>1200</v>
      </c>
      <c r="CA1619" t="s">
        <v>2394</v>
      </c>
      <c r="CC1619" t="s">
        <v>2326</v>
      </c>
      <c r="CD1619">
        <v>4449</v>
      </c>
      <c r="CE1619" t="s">
        <v>147</v>
      </c>
      <c r="CF1619" s="3">
        <v>45950</v>
      </c>
      <c r="CI1619">
        <v>1</v>
      </c>
      <c r="CJ1619">
        <v>3</v>
      </c>
      <c r="CK1619">
        <v>23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"080068534133"</f>
        <v>080068534133</v>
      </c>
      <c r="F1620" s="3">
        <v>45945</v>
      </c>
      <c r="G1620">
        <v>202607</v>
      </c>
      <c r="H1620" t="s">
        <v>79</v>
      </c>
      <c r="I1620" t="s">
        <v>80</v>
      </c>
      <c r="J1620" t="s">
        <v>91</v>
      </c>
      <c r="K1620" t="s">
        <v>78</v>
      </c>
      <c r="L1620" t="s">
        <v>148</v>
      </c>
      <c r="M1620" t="s">
        <v>149</v>
      </c>
      <c r="N1620" t="s">
        <v>465</v>
      </c>
      <c r="O1620" t="s">
        <v>226</v>
      </c>
      <c r="P1620" t="str">
        <f>"4170064336                    "</f>
        <v xml:space="preserve">4170064336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25.3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2</v>
      </c>
      <c r="BI1620">
        <v>11.2</v>
      </c>
      <c r="BJ1620">
        <v>2.6</v>
      </c>
      <c r="BK1620">
        <v>12</v>
      </c>
      <c r="BL1620">
        <v>80.31</v>
      </c>
      <c r="BM1620">
        <v>12.05</v>
      </c>
      <c r="BN1620">
        <v>92.36</v>
      </c>
      <c r="BO1620">
        <v>92.36</v>
      </c>
      <c r="BQ1620" t="s">
        <v>466</v>
      </c>
      <c r="BR1620" t="s">
        <v>97</v>
      </c>
      <c r="BS1620" s="3">
        <v>45946</v>
      </c>
      <c r="BT1620" s="4">
        <v>0.36805555555555558</v>
      </c>
      <c r="BU1620" t="s">
        <v>518</v>
      </c>
      <c r="BV1620" t="s">
        <v>86</v>
      </c>
      <c r="BY1620">
        <v>13116</v>
      </c>
      <c r="CA1620" t="s">
        <v>519</v>
      </c>
      <c r="CC1620" t="s">
        <v>149</v>
      </c>
      <c r="CD1620">
        <v>2094</v>
      </c>
      <c r="CE1620" t="s">
        <v>2005</v>
      </c>
      <c r="CF1620" s="3">
        <v>45946</v>
      </c>
      <c r="CI1620">
        <v>1</v>
      </c>
      <c r="CJ1620">
        <v>1</v>
      </c>
      <c r="CK1620">
        <v>32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"080068534142"</f>
        <v>080068534142</v>
      </c>
      <c r="F1621" s="3">
        <v>45945</v>
      </c>
      <c r="G1621">
        <v>202607</v>
      </c>
      <c r="H1621" t="s">
        <v>79</v>
      </c>
      <c r="I1621" t="s">
        <v>80</v>
      </c>
      <c r="J1621" t="s">
        <v>91</v>
      </c>
      <c r="K1621" t="s">
        <v>78</v>
      </c>
      <c r="L1621" t="s">
        <v>148</v>
      </c>
      <c r="M1621" t="s">
        <v>149</v>
      </c>
      <c r="N1621" t="s">
        <v>465</v>
      </c>
      <c r="O1621" t="s">
        <v>82</v>
      </c>
      <c r="P1621" t="str">
        <f>"4170064391                    "</f>
        <v xml:space="preserve">4170064391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17.46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55.42</v>
      </c>
      <c r="BM1621">
        <v>8.31</v>
      </c>
      <c r="BN1621">
        <v>63.73</v>
      </c>
      <c r="BO1621">
        <v>63.73</v>
      </c>
      <c r="BQ1621" t="s">
        <v>466</v>
      </c>
      <c r="BR1621" t="s">
        <v>97</v>
      </c>
      <c r="BS1621" s="3">
        <v>45946</v>
      </c>
      <c r="BT1621" s="4">
        <v>0.36805555555555558</v>
      </c>
      <c r="BU1621" t="s">
        <v>518</v>
      </c>
      <c r="BV1621" t="s">
        <v>86</v>
      </c>
      <c r="BY1621">
        <v>1200</v>
      </c>
      <c r="CA1621" t="s">
        <v>519</v>
      </c>
      <c r="CC1621" t="s">
        <v>149</v>
      </c>
      <c r="CD1621">
        <v>2094</v>
      </c>
      <c r="CE1621" t="s">
        <v>147</v>
      </c>
      <c r="CF1621" s="3">
        <v>45946</v>
      </c>
      <c r="CI1621">
        <v>1</v>
      </c>
      <c r="CJ1621">
        <v>1</v>
      </c>
      <c r="CK1621">
        <v>22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"080068534163"</f>
        <v>080068534163</v>
      </c>
      <c r="F1622" s="3">
        <v>45945</v>
      </c>
      <c r="G1622">
        <v>202607</v>
      </c>
      <c r="H1622" t="s">
        <v>79</v>
      </c>
      <c r="I1622" t="s">
        <v>80</v>
      </c>
      <c r="J1622" t="s">
        <v>91</v>
      </c>
      <c r="K1622" t="s">
        <v>78</v>
      </c>
      <c r="L1622" t="s">
        <v>271</v>
      </c>
      <c r="M1622" t="s">
        <v>272</v>
      </c>
      <c r="N1622" t="s">
        <v>273</v>
      </c>
      <c r="O1622" t="s">
        <v>82</v>
      </c>
      <c r="P1622" t="str">
        <f>"4170064323                    "</f>
        <v xml:space="preserve">4170064323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17.46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0.5</v>
      </c>
      <c r="BJ1622">
        <v>1.2</v>
      </c>
      <c r="BK1622">
        <v>2</v>
      </c>
      <c r="BL1622">
        <v>55.42</v>
      </c>
      <c r="BM1622">
        <v>8.31</v>
      </c>
      <c r="BN1622">
        <v>63.73</v>
      </c>
      <c r="BO1622">
        <v>63.73</v>
      </c>
      <c r="BQ1622" t="s">
        <v>274</v>
      </c>
      <c r="BR1622" t="s">
        <v>97</v>
      </c>
      <c r="BS1622" s="3">
        <v>45946</v>
      </c>
      <c r="BT1622" s="4">
        <v>0.37152777777777779</v>
      </c>
      <c r="BU1622" t="s">
        <v>1901</v>
      </c>
      <c r="BV1622" t="s">
        <v>86</v>
      </c>
      <c r="BY1622">
        <v>6212.4</v>
      </c>
      <c r="CA1622" t="s">
        <v>661</v>
      </c>
      <c r="CC1622" t="s">
        <v>272</v>
      </c>
      <c r="CD1622">
        <v>1422</v>
      </c>
      <c r="CE1622" t="s">
        <v>147</v>
      </c>
      <c r="CF1622" s="3">
        <v>45947</v>
      </c>
      <c r="CI1622">
        <v>1</v>
      </c>
      <c r="CJ1622">
        <v>1</v>
      </c>
      <c r="CK1622">
        <v>22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"080068534168"</f>
        <v>080068534168</v>
      </c>
      <c r="F1623" s="3">
        <v>45945</v>
      </c>
      <c r="G1623">
        <v>202607</v>
      </c>
      <c r="H1623" t="s">
        <v>79</v>
      </c>
      <c r="I1623" t="s">
        <v>80</v>
      </c>
      <c r="J1623" t="s">
        <v>91</v>
      </c>
      <c r="K1623" t="s">
        <v>78</v>
      </c>
      <c r="L1623" t="s">
        <v>206</v>
      </c>
      <c r="M1623" t="s">
        <v>207</v>
      </c>
      <c r="N1623" t="s">
        <v>2368</v>
      </c>
      <c r="O1623" t="s">
        <v>82</v>
      </c>
      <c r="P1623" t="str">
        <f>"4170064389                    "</f>
        <v xml:space="preserve">4170064389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22.36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0.9</v>
      </c>
      <c r="BK1623">
        <v>2</v>
      </c>
      <c r="BL1623">
        <v>70.959999999999994</v>
      </c>
      <c r="BM1623">
        <v>10.64</v>
      </c>
      <c r="BN1623">
        <v>81.599999999999994</v>
      </c>
      <c r="BO1623">
        <v>81.599999999999994</v>
      </c>
      <c r="BQ1623" t="s">
        <v>2369</v>
      </c>
      <c r="BR1623" t="s">
        <v>97</v>
      </c>
      <c r="BS1623" s="3">
        <v>45946</v>
      </c>
      <c r="BT1623" s="4">
        <v>0.43125000000000002</v>
      </c>
      <c r="BU1623" t="s">
        <v>2370</v>
      </c>
      <c r="BV1623" t="s">
        <v>86</v>
      </c>
      <c r="BY1623">
        <v>4275</v>
      </c>
      <c r="CA1623" t="s">
        <v>2371</v>
      </c>
      <c r="CC1623" t="s">
        <v>207</v>
      </c>
      <c r="CD1623">
        <v>7925</v>
      </c>
      <c r="CE1623" t="s">
        <v>191</v>
      </c>
      <c r="CF1623" s="3">
        <v>45947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"080068534182"</f>
        <v>080068534182</v>
      </c>
      <c r="F1624" s="3">
        <v>45945</v>
      </c>
      <c r="G1624">
        <v>202607</v>
      </c>
      <c r="H1624" t="s">
        <v>79</v>
      </c>
      <c r="I1624" t="s">
        <v>80</v>
      </c>
      <c r="J1624" t="s">
        <v>91</v>
      </c>
      <c r="K1624" t="s">
        <v>78</v>
      </c>
      <c r="L1624" t="s">
        <v>108</v>
      </c>
      <c r="M1624" t="s">
        <v>109</v>
      </c>
      <c r="N1624" t="s">
        <v>291</v>
      </c>
      <c r="O1624" t="s">
        <v>82</v>
      </c>
      <c r="P1624" t="str">
        <f>"4170064384                    "</f>
        <v xml:space="preserve">4170064384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22.36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70.959999999999994</v>
      </c>
      <c r="BM1624">
        <v>10.64</v>
      </c>
      <c r="BN1624">
        <v>81.599999999999994</v>
      </c>
      <c r="BO1624">
        <v>81.599999999999994</v>
      </c>
      <c r="BQ1624" t="s">
        <v>292</v>
      </c>
      <c r="BR1624" t="s">
        <v>97</v>
      </c>
      <c r="BS1624" s="3">
        <v>45946</v>
      </c>
      <c r="BT1624" s="4">
        <v>0.37361111111111112</v>
      </c>
      <c r="BU1624" t="s">
        <v>2395</v>
      </c>
      <c r="BV1624" t="s">
        <v>86</v>
      </c>
      <c r="BY1624">
        <v>1200</v>
      </c>
      <c r="CA1624" t="s">
        <v>294</v>
      </c>
      <c r="CC1624" t="s">
        <v>109</v>
      </c>
      <c r="CD1624">
        <v>6001</v>
      </c>
      <c r="CE1624" t="s">
        <v>147</v>
      </c>
      <c r="CF1624" s="3">
        <v>45946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"080068534193"</f>
        <v>080068534193</v>
      </c>
      <c r="F1625" s="3">
        <v>45945</v>
      </c>
      <c r="G1625">
        <v>202607</v>
      </c>
      <c r="H1625" t="s">
        <v>79</v>
      </c>
      <c r="I1625" t="s">
        <v>80</v>
      </c>
      <c r="J1625" t="s">
        <v>91</v>
      </c>
      <c r="K1625" t="s">
        <v>78</v>
      </c>
      <c r="L1625" t="s">
        <v>114</v>
      </c>
      <c r="M1625" t="s">
        <v>115</v>
      </c>
      <c r="N1625" t="s">
        <v>746</v>
      </c>
      <c r="O1625" t="s">
        <v>82</v>
      </c>
      <c r="P1625" t="str">
        <f>"4170064374                    "</f>
        <v xml:space="preserve">4170064374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22.36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0.9</v>
      </c>
      <c r="BK1625">
        <v>1</v>
      </c>
      <c r="BL1625">
        <v>70.959999999999994</v>
      </c>
      <c r="BM1625">
        <v>10.64</v>
      </c>
      <c r="BN1625">
        <v>81.599999999999994</v>
      </c>
      <c r="BO1625">
        <v>81.599999999999994</v>
      </c>
      <c r="BQ1625" t="s">
        <v>747</v>
      </c>
      <c r="BR1625" t="s">
        <v>97</v>
      </c>
      <c r="BS1625" s="3">
        <v>45946</v>
      </c>
      <c r="BT1625" s="4">
        <v>0.46527777777777779</v>
      </c>
      <c r="BU1625" t="s">
        <v>2379</v>
      </c>
      <c r="BV1625" t="s">
        <v>90</v>
      </c>
      <c r="BY1625">
        <v>4275</v>
      </c>
      <c r="CA1625" t="s">
        <v>749</v>
      </c>
      <c r="CC1625" t="s">
        <v>115</v>
      </c>
      <c r="CD1625">
        <v>5201</v>
      </c>
      <c r="CE1625" t="s">
        <v>191</v>
      </c>
      <c r="CF1625" s="3">
        <v>45947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"080068534223"</f>
        <v>080068534223</v>
      </c>
      <c r="F1626" s="3">
        <v>45945</v>
      </c>
      <c r="G1626">
        <v>202607</v>
      </c>
      <c r="H1626" t="s">
        <v>79</v>
      </c>
      <c r="I1626" t="s">
        <v>80</v>
      </c>
      <c r="J1626" t="s">
        <v>91</v>
      </c>
      <c r="K1626" t="s">
        <v>78</v>
      </c>
      <c r="L1626" t="s">
        <v>114</v>
      </c>
      <c r="M1626" t="s">
        <v>115</v>
      </c>
      <c r="N1626" t="s">
        <v>774</v>
      </c>
      <c r="O1626" t="s">
        <v>82</v>
      </c>
      <c r="P1626" t="str">
        <f>"4170064373                    "</f>
        <v xml:space="preserve">4170064373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22.36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70.959999999999994</v>
      </c>
      <c r="BM1626">
        <v>10.64</v>
      </c>
      <c r="BN1626">
        <v>81.599999999999994</v>
      </c>
      <c r="BO1626">
        <v>81.599999999999994</v>
      </c>
      <c r="BQ1626" t="s">
        <v>775</v>
      </c>
      <c r="BR1626" t="s">
        <v>97</v>
      </c>
      <c r="BS1626" s="3">
        <v>45946</v>
      </c>
      <c r="BT1626" s="4">
        <v>0.47222222222222221</v>
      </c>
      <c r="BU1626" t="s">
        <v>2396</v>
      </c>
      <c r="BV1626" t="s">
        <v>86</v>
      </c>
      <c r="BY1626">
        <v>1200</v>
      </c>
      <c r="CA1626" t="s">
        <v>119</v>
      </c>
      <c r="CC1626" t="s">
        <v>115</v>
      </c>
      <c r="CD1626">
        <v>5201</v>
      </c>
      <c r="CE1626" t="s">
        <v>147</v>
      </c>
      <c r="CF1626" s="3">
        <v>45947</v>
      </c>
      <c r="CI1626">
        <v>5</v>
      </c>
      <c r="CJ1626">
        <v>1</v>
      </c>
      <c r="CK1626">
        <v>21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"080068534228"</f>
        <v>080068534228</v>
      </c>
      <c r="F1627" s="3">
        <v>45945</v>
      </c>
      <c r="G1627">
        <v>202607</v>
      </c>
      <c r="H1627" t="s">
        <v>79</v>
      </c>
      <c r="I1627" t="s">
        <v>80</v>
      </c>
      <c r="J1627" t="s">
        <v>91</v>
      </c>
      <c r="K1627" t="s">
        <v>78</v>
      </c>
      <c r="L1627" t="s">
        <v>322</v>
      </c>
      <c r="M1627" t="s">
        <v>322</v>
      </c>
      <c r="N1627" t="s">
        <v>483</v>
      </c>
      <c r="O1627" t="s">
        <v>82</v>
      </c>
      <c r="P1627" t="str">
        <f>"4170064356                    "</f>
        <v xml:space="preserve">4170064356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150.88999999999999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4</v>
      </c>
      <c r="BJ1627">
        <v>7.1</v>
      </c>
      <c r="BK1627">
        <v>7.5</v>
      </c>
      <c r="BL1627">
        <v>478.91</v>
      </c>
      <c r="BM1627">
        <v>71.84</v>
      </c>
      <c r="BN1627">
        <v>550.75</v>
      </c>
      <c r="BO1627">
        <v>550.75</v>
      </c>
      <c r="BQ1627" t="s">
        <v>486</v>
      </c>
      <c r="BR1627" t="s">
        <v>97</v>
      </c>
      <c r="BS1627" s="3">
        <v>45946</v>
      </c>
      <c r="BT1627" s="4">
        <v>0.49305555555555558</v>
      </c>
      <c r="BU1627" t="s">
        <v>485</v>
      </c>
      <c r="BV1627" t="s">
        <v>86</v>
      </c>
      <c r="BY1627">
        <v>35700</v>
      </c>
      <c r="CA1627" t="s">
        <v>326</v>
      </c>
      <c r="CC1627" t="s">
        <v>322</v>
      </c>
      <c r="CD1627">
        <v>7646</v>
      </c>
      <c r="CE1627" t="s">
        <v>107</v>
      </c>
      <c r="CF1627" s="3">
        <v>45947</v>
      </c>
      <c r="CI1627">
        <v>1</v>
      </c>
      <c r="CJ1627">
        <v>1</v>
      </c>
      <c r="CK1627">
        <v>23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"080068534246"</f>
        <v>080068534246</v>
      </c>
      <c r="F1628" s="3">
        <v>45945</v>
      </c>
      <c r="G1628">
        <v>202607</v>
      </c>
      <c r="H1628" t="s">
        <v>79</v>
      </c>
      <c r="I1628" t="s">
        <v>80</v>
      </c>
      <c r="J1628" t="s">
        <v>91</v>
      </c>
      <c r="K1628" t="s">
        <v>78</v>
      </c>
      <c r="L1628" t="s">
        <v>121</v>
      </c>
      <c r="M1628" t="s">
        <v>122</v>
      </c>
      <c r="N1628" t="s">
        <v>2397</v>
      </c>
      <c r="O1628" t="s">
        <v>82</v>
      </c>
      <c r="P1628" t="str">
        <f>"4170064368                    "</f>
        <v xml:space="preserve">4170064368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22.36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70.959999999999994</v>
      </c>
      <c r="BM1628">
        <v>10.64</v>
      </c>
      <c r="BN1628">
        <v>81.599999999999994</v>
      </c>
      <c r="BO1628">
        <v>81.599999999999994</v>
      </c>
      <c r="BQ1628" t="s">
        <v>2398</v>
      </c>
      <c r="BR1628" t="s">
        <v>97</v>
      </c>
      <c r="BS1628" s="3">
        <v>45946</v>
      </c>
      <c r="BT1628" s="4">
        <v>0.60972222222222228</v>
      </c>
      <c r="BU1628" t="s">
        <v>2399</v>
      </c>
      <c r="BV1628" t="s">
        <v>90</v>
      </c>
      <c r="BW1628" t="s">
        <v>136</v>
      </c>
      <c r="BX1628" t="s">
        <v>787</v>
      </c>
      <c r="BY1628">
        <v>1200</v>
      </c>
      <c r="CA1628" t="s">
        <v>331</v>
      </c>
      <c r="CC1628" t="s">
        <v>122</v>
      </c>
      <c r="CD1628">
        <v>4004</v>
      </c>
      <c r="CE1628" t="s">
        <v>147</v>
      </c>
      <c r="CF1628" s="3">
        <v>45946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"080068534269"</f>
        <v>080068534269</v>
      </c>
      <c r="F1629" s="3">
        <v>45945</v>
      </c>
      <c r="G1629">
        <v>202607</v>
      </c>
      <c r="H1629" t="s">
        <v>79</v>
      </c>
      <c r="I1629" t="s">
        <v>80</v>
      </c>
      <c r="J1629" t="s">
        <v>91</v>
      </c>
      <c r="K1629" t="s">
        <v>78</v>
      </c>
      <c r="L1629" t="s">
        <v>168</v>
      </c>
      <c r="M1629" t="s">
        <v>169</v>
      </c>
      <c r="N1629" t="s">
        <v>2044</v>
      </c>
      <c r="O1629" t="s">
        <v>95</v>
      </c>
      <c r="P1629" t="str">
        <f>"4170064325                    "</f>
        <v xml:space="preserve">4170064325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43.23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2</v>
      </c>
      <c r="BI1629">
        <v>9.5</v>
      </c>
      <c r="BJ1629">
        <v>2.8</v>
      </c>
      <c r="BK1629">
        <v>10</v>
      </c>
      <c r="BL1629">
        <v>143.08000000000001</v>
      </c>
      <c r="BM1629">
        <v>21.46</v>
      </c>
      <c r="BN1629">
        <v>164.54</v>
      </c>
      <c r="BO1629">
        <v>164.54</v>
      </c>
      <c r="BQ1629" t="s">
        <v>2045</v>
      </c>
      <c r="BR1629" t="s">
        <v>97</v>
      </c>
      <c r="BS1629" s="3">
        <v>45946</v>
      </c>
      <c r="BT1629" s="4">
        <v>0.45902777777777776</v>
      </c>
      <c r="BU1629" t="s">
        <v>2046</v>
      </c>
      <c r="BV1629" t="s">
        <v>86</v>
      </c>
      <c r="BY1629">
        <v>13768.86</v>
      </c>
      <c r="CA1629">
        <v>8303236124087</v>
      </c>
      <c r="CC1629" t="s">
        <v>169</v>
      </c>
      <c r="CD1629" s="5" t="s">
        <v>190</v>
      </c>
      <c r="CE1629" t="s">
        <v>191</v>
      </c>
      <c r="CF1629" s="3">
        <v>45946</v>
      </c>
      <c r="CI1629">
        <v>1</v>
      </c>
      <c r="CJ1629">
        <v>1</v>
      </c>
      <c r="CK1629">
        <v>41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"080068534290"</f>
        <v>080068534290</v>
      </c>
      <c r="F1630" s="3">
        <v>45945</v>
      </c>
      <c r="G1630">
        <v>202607</v>
      </c>
      <c r="H1630" t="s">
        <v>79</v>
      </c>
      <c r="I1630" t="s">
        <v>80</v>
      </c>
      <c r="J1630" t="s">
        <v>91</v>
      </c>
      <c r="K1630" t="s">
        <v>78</v>
      </c>
      <c r="L1630" t="s">
        <v>121</v>
      </c>
      <c r="M1630" t="s">
        <v>122</v>
      </c>
      <c r="N1630" t="s">
        <v>707</v>
      </c>
      <c r="O1630" t="s">
        <v>82</v>
      </c>
      <c r="P1630" t="str">
        <f>"4170064313                    "</f>
        <v xml:space="preserve">4170064313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33.520000000000003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3</v>
      </c>
      <c r="BJ1630">
        <v>2.9</v>
      </c>
      <c r="BK1630">
        <v>3</v>
      </c>
      <c r="BL1630">
        <v>106.4</v>
      </c>
      <c r="BM1630">
        <v>15.96</v>
      </c>
      <c r="BN1630">
        <v>122.36</v>
      </c>
      <c r="BO1630">
        <v>122.36</v>
      </c>
      <c r="BQ1630" t="s">
        <v>708</v>
      </c>
      <c r="BR1630" t="s">
        <v>97</v>
      </c>
      <c r="BS1630" s="3">
        <v>45946</v>
      </c>
      <c r="BT1630" s="4">
        <v>0.39930555555555558</v>
      </c>
      <c r="BU1630" t="s">
        <v>823</v>
      </c>
      <c r="BV1630" t="s">
        <v>86</v>
      </c>
      <c r="BY1630">
        <v>14592</v>
      </c>
      <c r="CA1630" t="s">
        <v>651</v>
      </c>
      <c r="CC1630" t="s">
        <v>122</v>
      </c>
      <c r="CD1630">
        <v>4001</v>
      </c>
      <c r="CE1630" t="s">
        <v>107</v>
      </c>
      <c r="CF1630" s="3">
        <v>45947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"080068534313"</f>
        <v>080068534313</v>
      </c>
      <c r="F1631" s="3">
        <v>45945</v>
      </c>
      <c r="G1631">
        <v>202607</v>
      </c>
      <c r="H1631" t="s">
        <v>79</v>
      </c>
      <c r="I1631" t="s">
        <v>80</v>
      </c>
      <c r="J1631" t="s">
        <v>91</v>
      </c>
      <c r="K1631" t="s">
        <v>78</v>
      </c>
      <c r="L1631" t="s">
        <v>2400</v>
      </c>
      <c r="M1631" t="s">
        <v>2401</v>
      </c>
      <c r="N1631" t="s">
        <v>911</v>
      </c>
      <c r="O1631" t="s">
        <v>82</v>
      </c>
      <c r="P1631" t="str">
        <f>"4170064318                    "</f>
        <v xml:space="preserve">4170064318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50.28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4.3</v>
      </c>
      <c r="BJ1631">
        <v>1.3</v>
      </c>
      <c r="BK1631">
        <v>4.5</v>
      </c>
      <c r="BL1631">
        <v>159.58000000000001</v>
      </c>
      <c r="BM1631">
        <v>23.94</v>
      </c>
      <c r="BN1631">
        <v>183.52</v>
      </c>
      <c r="BO1631">
        <v>183.52</v>
      </c>
      <c r="BQ1631" t="s">
        <v>912</v>
      </c>
      <c r="BR1631" t="s">
        <v>97</v>
      </c>
      <c r="BS1631" s="3">
        <v>45946</v>
      </c>
      <c r="BT1631" s="4">
        <v>0.36388888888888887</v>
      </c>
      <c r="BU1631" t="s">
        <v>2402</v>
      </c>
      <c r="BV1631" t="s">
        <v>86</v>
      </c>
      <c r="BY1631">
        <v>6447.42</v>
      </c>
      <c r="CA1631" t="s">
        <v>2403</v>
      </c>
      <c r="CC1631" t="s">
        <v>2401</v>
      </c>
      <c r="CD1631" s="5" t="s">
        <v>2404</v>
      </c>
      <c r="CE1631" t="s">
        <v>107</v>
      </c>
      <c r="CF1631" s="3">
        <v>45946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"080068534337"</f>
        <v>080068534337</v>
      </c>
      <c r="F1632" s="3">
        <v>45945</v>
      </c>
      <c r="G1632">
        <v>202607</v>
      </c>
      <c r="H1632" t="s">
        <v>79</v>
      </c>
      <c r="I1632" t="s">
        <v>80</v>
      </c>
      <c r="J1632" t="s">
        <v>91</v>
      </c>
      <c r="K1632" t="s">
        <v>78</v>
      </c>
      <c r="L1632" t="s">
        <v>108</v>
      </c>
      <c r="M1632" t="s">
        <v>109</v>
      </c>
      <c r="N1632" t="s">
        <v>515</v>
      </c>
      <c r="O1632" t="s">
        <v>82</v>
      </c>
      <c r="P1632" t="str">
        <f>"4170064308                    "</f>
        <v xml:space="preserve">4170064308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33.520000000000003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3</v>
      </c>
      <c r="BJ1632">
        <v>1.7</v>
      </c>
      <c r="BK1632">
        <v>3</v>
      </c>
      <c r="BL1632">
        <v>106.4</v>
      </c>
      <c r="BM1632">
        <v>15.96</v>
      </c>
      <c r="BN1632">
        <v>122.36</v>
      </c>
      <c r="BO1632">
        <v>122.36</v>
      </c>
      <c r="BQ1632" t="s">
        <v>516</v>
      </c>
      <c r="BR1632" t="s">
        <v>97</v>
      </c>
      <c r="BS1632" s="3">
        <v>45946</v>
      </c>
      <c r="BT1632" s="4">
        <v>0.41597222222222224</v>
      </c>
      <c r="BU1632" t="s">
        <v>2405</v>
      </c>
      <c r="BV1632" t="s">
        <v>86</v>
      </c>
      <c r="BY1632">
        <v>8640</v>
      </c>
      <c r="CA1632" t="s">
        <v>113</v>
      </c>
      <c r="CC1632" t="s">
        <v>109</v>
      </c>
      <c r="CD1632">
        <v>6001</v>
      </c>
      <c r="CE1632" t="s">
        <v>107</v>
      </c>
      <c r="CF1632" s="3">
        <v>45946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"080068534386"</f>
        <v>080068534386</v>
      </c>
      <c r="F1633" s="3">
        <v>45945</v>
      </c>
      <c r="G1633">
        <v>202607</v>
      </c>
      <c r="H1633" t="s">
        <v>79</v>
      </c>
      <c r="I1633" t="s">
        <v>80</v>
      </c>
      <c r="J1633" t="s">
        <v>91</v>
      </c>
      <c r="K1633" t="s">
        <v>78</v>
      </c>
      <c r="L1633" t="s">
        <v>108</v>
      </c>
      <c r="M1633" t="s">
        <v>109</v>
      </c>
      <c r="N1633" t="s">
        <v>1176</v>
      </c>
      <c r="O1633" t="s">
        <v>82</v>
      </c>
      <c r="P1633" t="str">
        <f>"4170064309                    "</f>
        <v xml:space="preserve">4170064309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67.03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6</v>
      </c>
      <c r="BJ1633">
        <v>2.2999999999999998</v>
      </c>
      <c r="BK1633">
        <v>6</v>
      </c>
      <c r="BL1633">
        <v>212.75</v>
      </c>
      <c r="BM1633">
        <v>31.91</v>
      </c>
      <c r="BN1633">
        <v>244.66</v>
      </c>
      <c r="BO1633">
        <v>244.66</v>
      </c>
      <c r="BQ1633" t="s">
        <v>1177</v>
      </c>
      <c r="BR1633" t="s">
        <v>97</v>
      </c>
      <c r="BS1633" s="3">
        <v>45946</v>
      </c>
      <c r="BT1633" s="4">
        <v>0.40902777777777777</v>
      </c>
      <c r="BU1633" t="s">
        <v>1178</v>
      </c>
      <c r="BV1633" t="s">
        <v>86</v>
      </c>
      <c r="BY1633">
        <v>11700</v>
      </c>
      <c r="CA1633" t="s">
        <v>113</v>
      </c>
      <c r="CC1633" t="s">
        <v>109</v>
      </c>
      <c r="CD1633">
        <v>6001</v>
      </c>
      <c r="CE1633" t="s">
        <v>107</v>
      </c>
      <c r="CF1633" s="3">
        <v>45946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"080068534569"</f>
        <v>080068534569</v>
      </c>
      <c r="F1634" s="3">
        <v>45945</v>
      </c>
      <c r="G1634">
        <v>202607</v>
      </c>
      <c r="H1634" t="s">
        <v>79</v>
      </c>
      <c r="I1634" t="s">
        <v>80</v>
      </c>
      <c r="J1634" t="s">
        <v>91</v>
      </c>
      <c r="K1634" t="s">
        <v>78</v>
      </c>
      <c r="L1634" t="s">
        <v>884</v>
      </c>
      <c r="M1634" t="s">
        <v>885</v>
      </c>
      <c r="N1634" t="s">
        <v>886</v>
      </c>
      <c r="O1634" t="s">
        <v>82</v>
      </c>
      <c r="P1634" t="str">
        <f>"4170064358                    "</f>
        <v xml:space="preserve">4170064358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43.31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0.2</v>
      </c>
      <c r="BJ1634">
        <v>1.3</v>
      </c>
      <c r="BK1634">
        <v>1.5</v>
      </c>
      <c r="BL1634">
        <v>137.47</v>
      </c>
      <c r="BM1634">
        <v>20.62</v>
      </c>
      <c r="BN1634">
        <v>158.09</v>
      </c>
      <c r="BO1634">
        <v>158.09</v>
      </c>
      <c r="BQ1634" t="s">
        <v>887</v>
      </c>
      <c r="BR1634" t="s">
        <v>97</v>
      </c>
      <c r="BS1634" s="3">
        <v>45946</v>
      </c>
      <c r="BT1634" s="4">
        <v>0.33333333333333331</v>
      </c>
      <c r="BU1634" t="s">
        <v>2389</v>
      </c>
      <c r="BV1634" t="s">
        <v>86</v>
      </c>
      <c r="BY1634">
        <v>6683.04</v>
      </c>
      <c r="CC1634" t="s">
        <v>885</v>
      </c>
      <c r="CD1634">
        <v>2740</v>
      </c>
      <c r="CE1634" t="s">
        <v>107</v>
      </c>
      <c r="CF1634" s="3">
        <v>45947</v>
      </c>
      <c r="CI1634">
        <v>1</v>
      </c>
      <c r="CJ1634">
        <v>1</v>
      </c>
      <c r="CK1634">
        <v>23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"080068534608"</f>
        <v>080068534608</v>
      </c>
      <c r="F1635" s="3">
        <v>45945</v>
      </c>
      <c r="G1635">
        <v>202607</v>
      </c>
      <c r="H1635" t="s">
        <v>79</v>
      </c>
      <c r="I1635" t="s">
        <v>80</v>
      </c>
      <c r="J1635" t="s">
        <v>91</v>
      </c>
      <c r="K1635" t="s">
        <v>78</v>
      </c>
      <c r="L1635" t="s">
        <v>453</v>
      </c>
      <c r="M1635" t="s">
        <v>454</v>
      </c>
      <c r="N1635" t="s">
        <v>1223</v>
      </c>
      <c r="O1635" t="s">
        <v>82</v>
      </c>
      <c r="P1635" t="str">
        <f>"4170064322                    "</f>
        <v xml:space="preserve">4170064322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22.36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1.6</v>
      </c>
      <c r="BJ1635">
        <v>1.4</v>
      </c>
      <c r="BK1635">
        <v>2</v>
      </c>
      <c r="BL1635">
        <v>70.959999999999994</v>
      </c>
      <c r="BM1635">
        <v>10.64</v>
      </c>
      <c r="BN1635">
        <v>81.599999999999994</v>
      </c>
      <c r="BO1635">
        <v>81.599999999999994</v>
      </c>
      <c r="BQ1635" t="s">
        <v>1224</v>
      </c>
      <c r="BR1635" t="s">
        <v>97</v>
      </c>
      <c r="BS1635" s="3">
        <v>45946</v>
      </c>
      <c r="BT1635" s="4">
        <v>0.41111111111111109</v>
      </c>
      <c r="BU1635" t="s">
        <v>2406</v>
      </c>
      <c r="BV1635" t="s">
        <v>86</v>
      </c>
      <c r="BY1635">
        <v>6779.7</v>
      </c>
      <c r="CA1635" t="s">
        <v>742</v>
      </c>
      <c r="CC1635" t="s">
        <v>454</v>
      </c>
      <c r="CD1635">
        <v>3610</v>
      </c>
      <c r="CE1635" t="s">
        <v>191</v>
      </c>
      <c r="CF1635" s="3">
        <v>45947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"080068534645"</f>
        <v>080068534645</v>
      </c>
      <c r="F1636" s="3">
        <v>45945</v>
      </c>
      <c r="G1636">
        <v>202607</v>
      </c>
      <c r="H1636" t="s">
        <v>79</v>
      </c>
      <c r="I1636" t="s">
        <v>80</v>
      </c>
      <c r="J1636" t="s">
        <v>91</v>
      </c>
      <c r="K1636" t="s">
        <v>78</v>
      </c>
      <c r="L1636" t="s">
        <v>206</v>
      </c>
      <c r="M1636" t="s">
        <v>207</v>
      </c>
      <c r="N1636" t="s">
        <v>208</v>
      </c>
      <c r="O1636" t="s">
        <v>82</v>
      </c>
      <c r="P1636" t="str">
        <f>"4170064348                    "</f>
        <v xml:space="preserve">4170064348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22.36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1.9</v>
      </c>
      <c r="BK1636">
        <v>2</v>
      </c>
      <c r="BL1636">
        <v>70.959999999999994</v>
      </c>
      <c r="BM1636">
        <v>10.64</v>
      </c>
      <c r="BN1636">
        <v>81.599999999999994</v>
      </c>
      <c r="BO1636">
        <v>81.599999999999994</v>
      </c>
      <c r="BQ1636" t="s">
        <v>209</v>
      </c>
      <c r="BR1636" t="s">
        <v>97</v>
      </c>
      <c r="BS1636" s="3">
        <v>45946</v>
      </c>
      <c r="BT1636" s="4">
        <v>0.38333333333333336</v>
      </c>
      <c r="BU1636" t="s">
        <v>769</v>
      </c>
      <c r="BV1636" t="s">
        <v>86</v>
      </c>
      <c r="BY1636">
        <v>9600</v>
      </c>
      <c r="CA1636" t="s">
        <v>770</v>
      </c>
      <c r="CC1636" t="s">
        <v>207</v>
      </c>
      <c r="CD1636">
        <v>7441</v>
      </c>
      <c r="CE1636" t="s">
        <v>191</v>
      </c>
      <c r="CF1636" s="3">
        <v>45947</v>
      </c>
      <c r="CI1636">
        <v>1</v>
      </c>
      <c r="CJ1636">
        <v>1</v>
      </c>
      <c r="CK1636">
        <v>21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"080068534675"</f>
        <v>080068534675</v>
      </c>
      <c r="F1637" s="3">
        <v>45945</v>
      </c>
      <c r="G1637">
        <v>202607</v>
      </c>
      <c r="H1637" t="s">
        <v>79</v>
      </c>
      <c r="I1637" t="s">
        <v>80</v>
      </c>
      <c r="J1637" t="s">
        <v>91</v>
      </c>
      <c r="K1637" t="s">
        <v>78</v>
      </c>
      <c r="L1637" t="s">
        <v>271</v>
      </c>
      <c r="M1637" t="s">
        <v>272</v>
      </c>
      <c r="N1637" t="s">
        <v>1489</v>
      </c>
      <c r="O1637" t="s">
        <v>226</v>
      </c>
      <c r="P1637" t="str">
        <f>"4170064300                    "</f>
        <v xml:space="preserve">4170064300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21.39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9.3000000000000007</v>
      </c>
      <c r="BJ1637">
        <v>3</v>
      </c>
      <c r="BK1637">
        <v>10</v>
      </c>
      <c r="BL1637">
        <v>67.88</v>
      </c>
      <c r="BM1637">
        <v>10.18</v>
      </c>
      <c r="BN1637">
        <v>78.06</v>
      </c>
      <c r="BO1637">
        <v>78.06</v>
      </c>
      <c r="BQ1637" t="s">
        <v>1490</v>
      </c>
      <c r="BR1637" t="s">
        <v>97</v>
      </c>
      <c r="BS1637" s="3">
        <v>45946</v>
      </c>
      <c r="BT1637" s="4">
        <v>0.40347222222222223</v>
      </c>
      <c r="BU1637" t="s">
        <v>2407</v>
      </c>
      <c r="BV1637" t="s">
        <v>86</v>
      </c>
      <c r="BY1637">
        <v>15176.5</v>
      </c>
      <c r="CA1637" t="s">
        <v>1659</v>
      </c>
      <c r="CC1637" t="s">
        <v>272</v>
      </c>
      <c r="CD1637">
        <v>1406</v>
      </c>
      <c r="CE1637" t="s">
        <v>107</v>
      </c>
      <c r="CF1637" s="3">
        <v>45946</v>
      </c>
      <c r="CI1637">
        <v>1</v>
      </c>
      <c r="CJ1637">
        <v>1</v>
      </c>
      <c r="CK1637">
        <v>32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"080068534692"</f>
        <v>080068534692</v>
      </c>
      <c r="F1638" s="3">
        <v>45945</v>
      </c>
      <c r="G1638">
        <v>202607</v>
      </c>
      <c r="H1638" t="s">
        <v>79</v>
      </c>
      <c r="I1638" t="s">
        <v>80</v>
      </c>
      <c r="J1638" t="s">
        <v>91</v>
      </c>
      <c r="K1638" t="s">
        <v>78</v>
      </c>
      <c r="L1638" t="s">
        <v>453</v>
      </c>
      <c r="M1638" t="s">
        <v>454</v>
      </c>
      <c r="N1638" t="s">
        <v>845</v>
      </c>
      <c r="O1638" t="s">
        <v>82</v>
      </c>
      <c r="P1638" t="str">
        <f>"4170064341                    "</f>
        <v xml:space="preserve">4170064341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22.36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70.959999999999994</v>
      </c>
      <c r="BM1638">
        <v>10.64</v>
      </c>
      <c r="BN1638">
        <v>81.599999999999994</v>
      </c>
      <c r="BO1638">
        <v>81.599999999999994</v>
      </c>
      <c r="BQ1638" t="s">
        <v>846</v>
      </c>
      <c r="BR1638" t="s">
        <v>97</v>
      </c>
      <c r="BS1638" s="3">
        <v>45946</v>
      </c>
      <c r="BT1638" s="4">
        <v>0.61736111111111114</v>
      </c>
      <c r="BU1638" t="s">
        <v>2408</v>
      </c>
      <c r="BV1638" t="s">
        <v>90</v>
      </c>
      <c r="BW1638" t="s">
        <v>136</v>
      </c>
      <c r="BX1638" t="s">
        <v>787</v>
      </c>
      <c r="BY1638">
        <v>1200</v>
      </c>
      <c r="CA1638" t="s">
        <v>2391</v>
      </c>
      <c r="CC1638" t="s">
        <v>454</v>
      </c>
      <c r="CD1638">
        <v>3610</v>
      </c>
      <c r="CE1638" t="s">
        <v>147</v>
      </c>
      <c r="CF1638" s="3">
        <v>45947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"080068534717"</f>
        <v>080068534717</v>
      </c>
      <c r="F1639" s="3">
        <v>45945</v>
      </c>
      <c r="G1639">
        <v>202607</v>
      </c>
      <c r="H1639" t="s">
        <v>79</v>
      </c>
      <c r="I1639" t="s">
        <v>80</v>
      </c>
      <c r="J1639" t="s">
        <v>91</v>
      </c>
      <c r="K1639" t="s">
        <v>78</v>
      </c>
      <c r="L1639" t="s">
        <v>233</v>
      </c>
      <c r="M1639" t="s">
        <v>234</v>
      </c>
      <c r="N1639" t="s">
        <v>1066</v>
      </c>
      <c r="O1639" t="s">
        <v>82</v>
      </c>
      <c r="P1639" t="str">
        <f>"4170064355                    "</f>
        <v xml:space="preserve">4170064355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22.36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0.6</v>
      </c>
      <c r="BJ1639">
        <v>1.6</v>
      </c>
      <c r="BK1639">
        <v>2</v>
      </c>
      <c r="BL1639">
        <v>70.959999999999994</v>
      </c>
      <c r="BM1639">
        <v>10.64</v>
      </c>
      <c r="BN1639">
        <v>81.599999999999994</v>
      </c>
      <c r="BO1639">
        <v>81.599999999999994</v>
      </c>
      <c r="BQ1639" t="s">
        <v>1067</v>
      </c>
      <c r="BR1639" t="s">
        <v>97</v>
      </c>
      <c r="BS1639" s="3">
        <v>45946</v>
      </c>
      <c r="BT1639" s="4">
        <v>0.36458333333333331</v>
      </c>
      <c r="BU1639" t="s">
        <v>2409</v>
      </c>
      <c r="BV1639" t="s">
        <v>86</v>
      </c>
      <c r="BY1639">
        <v>8064.9</v>
      </c>
      <c r="CA1639">
        <v>7104145194083</v>
      </c>
      <c r="CC1639" t="s">
        <v>234</v>
      </c>
      <c r="CD1639" s="5" t="s">
        <v>238</v>
      </c>
      <c r="CE1639" t="s">
        <v>147</v>
      </c>
      <c r="CF1639" s="3">
        <v>45946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"080068534942"</f>
        <v>080068534942</v>
      </c>
      <c r="F1640" s="3">
        <v>45945</v>
      </c>
      <c r="G1640">
        <v>202607</v>
      </c>
      <c r="H1640" t="s">
        <v>79</v>
      </c>
      <c r="I1640" t="s">
        <v>80</v>
      </c>
      <c r="J1640" t="s">
        <v>91</v>
      </c>
      <c r="K1640" t="s">
        <v>78</v>
      </c>
      <c r="L1640" t="s">
        <v>206</v>
      </c>
      <c r="M1640" t="s">
        <v>207</v>
      </c>
      <c r="N1640" t="s">
        <v>427</v>
      </c>
      <c r="O1640" t="s">
        <v>82</v>
      </c>
      <c r="P1640" t="str">
        <f>"4170064367                    "</f>
        <v xml:space="preserve">4170064367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55.86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5</v>
      </c>
      <c r="BJ1640">
        <v>2.2999999999999998</v>
      </c>
      <c r="BK1640">
        <v>5</v>
      </c>
      <c r="BL1640">
        <v>177.3</v>
      </c>
      <c r="BM1640">
        <v>26.6</v>
      </c>
      <c r="BN1640">
        <v>203.9</v>
      </c>
      <c r="BO1640">
        <v>203.9</v>
      </c>
      <c r="BQ1640" t="s">
        <v>428</v>
      </c>
      <c r="BR1640" t="s">
        <v>97</v>
      </c>
      <c r="BS1640" s="3">
        <v>45946</v>
      </c>
      <c r="BT1640" s="4">
        <v>0.30208333333333331</v>
      </c>
      <c r="BU1640" t="s">
        <v>429</v>
      </c>
      <c r="BV1640" t="s">
        <v>86</v>
      </c>
      <c r="BY1640">
        <v>11368</v>
      </c>
      <c r="CA1640" t="s">
        <v>423</v>
      </c>
      <c r="CC1640" t="s">
        <v>207</v>
      </c>
      <c r="CD1640">
        <v>7530</v>
      </c>
      <c r="CE1640" t="s">
        <v>107</v>
      </c>
      <c r="CF1640" s="3">
        <v>45947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"080068534955"</f>
        <v>080068534955</v>
      </c>
      <c r="F1641" s="3">
        <v>45945</v>
      </c>
      <c r="G1641">
        <v>202607</v>
      </c>
      <c r="H1641" t="s">
        <v>79</v>
      </c>
      <c r="I1641" t="s">
        <v>80</v>
      </c>
      <c r="J1641" t="s">
        <v>91</v>
      </c>
      <c r="K1641" t="s">
        <v>78</v>
      </c>
      <c r="L1641" t="s">
        <v>180</v>
      </c>
      <c r="M1641" t="s">
        <v>181</v>
      </c>
      <c r="N1641" t="s">
        <v>182</v>
      </c>
      <c r="O1641" t="s">
        <v>82</v>
      </c>
      <c r="P1641" t="str">
        <f>"4170064344                    "</f>
        <v xml:space="preserve">4170064344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43.31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0.2</v>
      </c>
      <c r="BJ1641">
        <v>1.3</v>
      </c>
      <c r="BK1641">
        <v>1.5</v>
      </c>
      <c r="BL1641">
        <v>137.47</v>
      </c>
      <c r="BM1641">
        <v>20.62</v>
      </c>
      <c r="BN1641">
        <v>158.09</v>
      </c>
      <c r="BO1641">
        <v>158.09</v>
      </c>
      <c r="BQ1641" t="s">
        <v>183</v>
      </c>
      <c r="BR1641" t="s">
        <v>97</v>
      </c>
      <c r="BS1641" s="3">
        <v>45946</v>
      </c>
      <c r="BT1641" s="4">
        <v>0.60555555555555551</v>
      </c>
      <c r="BU1641" t="s">
        <v>2388</v>
      </c>
      <c r="BV1641" t="s">
        <v>86</v>
      </c>
      <c r="BY1641">
        <v>6277.32</v>
      </c>
      <c r="CC1641" t="s">
        <v>181</v>
      </c>
      <c r="CD1641">
        <v>1028</v>
      </c>
      <c r="CE1641" t="s">
        <v>147</v>
      </c>
      <c r="CF1641" s="3">
        <v>45946</v>
      </c>
      <c r="CI1641">
        <v>1</v>
      </c>
      <c r="CJ1641">
        <v>1</v>
      </c>
      <c r="CK1641">
        <v>23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"080068534980"</f>
        <v>080068534980</v>
      </c>
      <c r="F1642" s="3">
        <v>45945</v>
      </c>
      <c r="G1642">
        <v>202607</v>
      </c>
      <c r="H1642" t="s">
        <v>79</v>
      </c>
      <c r="I1642" t="s">
        <v>80</v>
      </c>
      <c r="J1642" t="s">
        <v>91</v>
      </c>
      <c r="K1642" t="s">
        <v>78</v>
      </c>
      <c r="L1642" t="s">
        <v>148</v>
      </c>
      <c r="M1642" t="s">
        <v>149</v>
      </c>
      <c r="N1642" t="s">
        <v>1563</v>
      </c>
      <c r="O1642" t="s">
        <v>82</v>
      </c>
      <c r="P1642" t="str">
        <f>"4170064378                    "</f>
        <v xml:space="preserve">4170064378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17.46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0.5</v>
      </c>
      <c r="BJ1642">
        <v>1.4</v>
      </c>
      <c r="BK1642">
        <v>2</v>
      </c>
      <c r="BL1642">
        <v>55.42</v>
      </c>
      <c r="BM1642">
        <v>8.31</v>
      </c>
      <c r="BN1642">
        <v>63.73</v>
      </c>
      <c r="BO1642">
        <v>63.73</v>
      </c>
      <c r="BQ1642" t="s">
        <v>1564</v>
      </c>
      <c r="BR1642" t="s">
        <v>97</v>
      </c>
      <c r="BS1642" s="3">
        <v>45946</v>
      </c>
      <c r="BT1642" s="4">
        <v>0.33333333333333331</v>
      </c>
      <c r="BU1642" t="s">
        <v>2410</v>
      </c>
      <c r="BV1642" t="s">
        <v>86</v>
      </c>
      <c r="BY1642">
        <v>6802.95</v>
      </c>
      <c r="CA1642" t="s">
        <v>519</v>
      </c>
      <c r="CC1642" t="s">
        <v>149</v>
      </c>
      <c r="CD1642">
        <v>2094</v>
      </c>
      <c r="CE1642" t="s">
        <v>147</v>
      </c>
      <c r="CF1642" s="3">
        <v>45946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"080068535007"</f>
        <v>080068535007</v>
      </c>
      <c r="F1643" s="3">
        <v>45945</v>
      </c>
      <c r="G1643">
        <v>202607</v>
      </c>
      <c r="H1643" t="s">
        <v>79</v>
      </c>
      <c r="I1643" t="s">
        <v>80</v>
      </c>
      <c r="J1643" t="s">
        <v>91</v>
      </c>
      <c r="K1643" t="s">
        <v>78</v>
      </c>
      <c r="L1643" t="s">
        <v>788</v>
      </c>
      <c r="M1643" t="s">
        <v>789</v>
      </c>
      <c r="N1643" t="s">
        <v>790</v>
      </c>
      <c r="O1643" t="s">
        <v>82</v>
      </c>
      <c r="P1643" t="str">
        <f>"4170064337                    "</f>
        <v xml:space="preserve">4170064337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43.31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0.6</v>
      </c>
      <c r="BJ1643">
        <v>1.5</v>
      </c>
      <c r="BK1643">
        <v>1.5</v>
      </c>
      <c r="BL1643">
        <v>137.47</v>
      </c>
      <c r="BM1643">
        <v>20.62</v>
      </c>
      <c r="BN1643">
        <v>158.09</v>
      </c>
      <c r="BO1643">
        <v>158.09</v>
      </c>
      <c r="BQ1643" t="s">
        <v>791</v>
      </c>
      <c r="BR1643" t="s">
        <v>97</v>
      </c>
      <c r="BS1643" s="3">
        <v>45946</v>
      </c>
      <c r="BT1643" s="4">
        <v>0.40972222222222221</v>
      </c>
      <c r="BU1643" t="s">
        <v>792</v>
      </c>
      <c r="BV1643" t="s">
        <v>86</v>
      </c>
      <c r="BY1643">
        <v>7615.83</v>
      </c>
      <c r="CA1643" t="s">
        <v>793</v>
      </c>
      <c r="CC1643" t="s">
        <v>789</v>
      </c>
      <c r="CD1643">
        <v>3224</v>
      </c>
      <c r="CE1643" t="s">
        <v>147</v>
      </c>
      <c r="CF1643" s="3">
        <v>45947</v>
      </c>
      <c r="CI1643">
        <v>1</v>
      </c>
      <c r="CJ1643">
        <v>1</v>
      </c>
      <c r="CK1643">
        <v>23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"080068535049"</f>
        <v>080068535049</v>
      </c>
      <c r="F1644" s="3">
        <v>45945</v>
      </c>
      <c r="G1644">
        <v>202607</v>
      </c>
      <c r="H1644" t="s">
        <v>79</v>
      </c>
      <c r="I1644" t="s">
        <v>80</v>
      </c>
      <c r="J1644" t="s">
        <v>91</v>
      </c>
      <c r="K1644" t="s">
        <v>78</v>
      </c>
      <c r="L1644" t="s">
        <v>92</v>
      </c>
      <c r="M1644" t="s">
        <v>93</v>
      </c>
      <c r="N1644" t="s">
        <v>143</v>
      </c>
      <c r="O1644" t="s">
        <v>82</v>
      </c>
      <c r="P1644" t="str">
        <f>"4170064376                    "</f>
        <v xml:space="preserve">4170064376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22.36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0.2</v>
      </c>
      <c r="BJ1644">
        <v>0.5</v>
      </c>
      <c r="BK1644">
        <v>0.5</v>
      </c>
      <c r="BL1644">
        <v>70.959999999999994</v>
      </c>
      <c r="BM1644">
        <v>10.64</v>
      </c>
      <c r="BN1644">
        <v>81.599999999999994</v>
      </c>
      <c r="BO1644">
        <v>81.599999999999994</v>
      </c>
      <c r="BQ1644" t="s">
        <v>144</v>
      </c>
      <c r="BR1644" t="s">
        <v>97</v>
      </c>
      <c r="BS1644" s="3">
        <v>45946</v>
      </c>
      <c r="BT1644" s="4">
        <v>0.42708333333333331</v>
      </c>
      <c r="BU1644" t="s">
        <v>2411</v>
      </c>
      <c r="BV1644" t="s">
        <v>86</v>
      </c>
      <c r="BY1644">
        <v>2288.52</v>
      </c>
      <c r="CA1644" t="s">
        <v>100</v>
      </c>
      <c r="CC1644" t="s">
        <v>93</v>
      </c>
      <c r="CD1644">
        <v>3200</v>
      </c>
      <c r="CE1644" t="s">
        <v>147</v>
      </c>
      <c r="CF1644" s="3">
        <v>45947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"080068535071"</f>
        <v>080068535071</v>
      </c>
      <c r="F1645" s="3">
        <v>45945</v>
      </c>
      <c r="G1645">
        <v>202607</v>
      </c>
      <c r="H1645" t="s">
        <v>79</v>
      </c>
      <c r="I1645" t="s">
        <v>80</v>
      </c>
      <c r="J1645" t="s">
        <v>91</v>
      </c>
      <c r="K1645" t="s">
        <v>78</v>
      </c>
      <c r="L1645" t="s">
        <v>121</v>
      </c>
      <c r="M1645" t="s">
        <v>122</v>
      </c>
      <c r="N1645" t="s">
        <v>123</v>
      </c>
      <c r="O1645" t="s">
        <v>82</v>
      </c>
      <c r="P1645" t="str">
        <f>"4170064350                    "</f>
        <v xml:space="preserve">4170064350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22.36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70.959999999999994</v>
      </c>
      <c r="BM1645">
        <v>10.64</v>
      </c>
      <c r="BN1645">
        <v>81.599999999999994</v>
      </c>
      <c r="BO1645">
        <v>81.599999999999994</v>
      </c>
      <c r="BQ1645" t="s">
        <v>124</v>
      </c>
      <c r="BR1645" t="s">
        <v>97</v>
      </c>
      <c r="BS1645" s="3">
        <v>45946</v>
      </c>
      <c r="BT1645" s="4">
        <v>0.33680555555555558</v>
      </c>
      <c r="BU1645" t="s">
        <v>2412</v>
      </c>
      <c r="BV1645" t="s">
        <v>86</v>
      </c>
      <c r="BY1645">
        <v>1200</v>
      </c>
      <c r="CA1645" t="s">
        <v>126</v>
      </c>
      <c r="CC1645" t="s">
        <v>122</v>
      </c>
      <c r="CD1645">
        <v>4000</v>
      </c>
      <c r="CE1645" t="s">
        <v>147</v>
      </c>
      <c r="CF1645" s="3">
        <v>45946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"080068535314"</f>
        <v>080068535314</v>
      </c>
      <c r="F1646" s="3">
        <v>45945</v>
      </c>
      <c r="G1646">
        <v>202607</v>
      </c>
      <c r="H1646" t="s">
        <v>79</v>
      </c>
      <c r="I1646" t="s">
        <v>80</v>
      </c>
      <c r="J1646" t="s">
        <v>91</v>
      </c>
      <c r="K1646" t="s">
        <v>78</v>
      </c>
      <c r="L1646" t="s">
        <v>108</v>
      </c>
      <c r="M1646" t="s">
        <v>109</v>
      </c>
      <c r="N1646" t="s">
        <v>1091</v>
      </c>
      <c r="O1646" t="s">
        <v>82</v>
      </c>
      <c r="P1646" t="str">
        <f>"4170064303                    "</f>
        <v xml:space="preserve">4170064303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67.03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6</v>
      </c>
      <c r="BJ1646">
        <v>4.0999999999999996</v>
      </c>
      <c r="BK1646">
        <v>6</v>
      </c>
      <c r="BL1646">
        <v>212.75</v>
      </c>
      <c r="BM1646">
        <v>31.91</v>
      </c>
      <c r="BN1646">
        <v>244.66</v>
      </c>
      <c r="BO1646">
        <v>244.66</v>
      </c>
      <c r="BQ1646" t="s">
        <v>1092</v>
      </c>
      <c r="BR1646" t="s">
        <v>97</v>
      </c>
      <c r="BS1646" s="3">
        <v>45946</v>
      </c>
      <c r="BT1646" s="4">
        <v>0.42083333333333334</v>
      </c>
      <c r="BU1646" t="s">
        <v>1560</v>
      </c>
      <c r="BV1646" t="s">
        <v>86</v>
      </c>
      <c r="BY1646">
        <v>20384</v>
      </c>
      <c r="CA1646" t="s">
        <v>113</v>
      </c>
      <c r="CC1646" t="s">
        <v>109</v>
      </c>
      <c r="CD1646">
        <v>6001</v>
      </c>
      <c r="CE1646" t="s">
        <v>107</v>
      </c>
      <c r="CF1646" s="3">
        <v>45946</v>
      </c>
      <c r="CI1646">
        <v>1</v>
      </c>
      <c r="CJ1646">
        <v>1</v>
      </c>
      <c r="CK1646">
        <v>21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"080068535353"</f>
        <v>080068535353</v>
      </c>
      <c r="F1647" s="3">
        <v>45945</v>
      </c>
      <c r="G1647">
        <v>202607</v>
      </c>
      <c r="H1647" t="s">
        <v>79</v>
      </c>
      <c r="I1647" t="s">
        <v>80</v>
      </c>
      <c r="J1647" t="s">
        <v>91</v>
      </c>
      <c r="K1647" t="s">
        <v>78</v>
      </c>
      <c r="L1647" t="s">
        <v>333</v>
      </c>
      <c r="M1647" t="s">
        <v>334</v>
      </c>
      <c r="N1647" t="s">
        <v>1388</v>
      </c>
      <c r="O1647" t="s">
        <v>82</v>
      </c>
      <c r="P1647" t="str">
        <f>"4170064310                    "</f>
        <v xml:space="preserve">4170064310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100.54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8.6999999999999993</v>
      </c>
      <c r="BJ1647">
        <v>2.8</v>
      </c>
      <c r="BK1647">
        <v>9</v>
      </c>
      <c r="BL1647">
        <v>319.10000000000002</v>
      </c>
      <c r="BM1647">
        <v>47.87</v>
      </c>
      <c r="BN1647">
        <v>366.97</v>
      </c>
      <c r="BO1647">
        <v>366.97</v>
      </c>
      <c r="BQ1647" t="s">
        <v>1389</v>
      </c>
      <c r="BR1647" t="s">
        <v>97</v>
      </c>
      <c r="BS1647" s="3">
        <v>45946</v>
      </c>
      <c r="BT1647" s="4">
        <v>0.42986111111111114</v>
      </c>
      <c r="BU1647" t="s">
        <v>2413</v>
      </c>
      <c r="BV1647" t="s">
        <v>86</v>
      </c>
      <c r="BY1647">
        <v>14089.24</v>
      </c>
      <c r="CA1647" t="s">
        <v>142</v>
      </c>
      <c r="CC1647" t="s">
        <v>334</v>
      </c>
      <c r="CD1647">
        <v>6220</v>
      </c>
      <c r="CE1647" t="s">
        <v>107</v>
      </c>
      <c r="CF1647" s="3">
        <v>45946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"080068535532"</f>
        <v>080068535532</v>
      </c>
      <c r="F1648" s="3">
        <v>45945</v>
      </c>
      <c r="G1648">
        <v>202607</v>
      </c>
      <c r="H1648" t="s">
        <v>79</v>
      </c>
      <c r="I1648" t="s">
        <v>80</v>
      </c>
      <c r="J1648" t="s">
        <v>91</v>
      </c>
      <c r="K1648" t="s">
        <v>78</v>
      </c>
      <c r="L1648" t="s">
        <v>206</v>
      </c>
      <c r="M1648" t="s">
        <v>207</v>
      </c>
      <c r="N1648" t="s">
        <v>2026</v>
      </c>
      <c r="O1648" t="s">
        <v>82</v>
      </c>
      <c r="P1648" t="str">
        <f>"4170064351                    "</f>
        <v xml:space="preserve">4170064351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22.36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70.959999999999994</v>
      </c>
      <c r="BM1648">
        <v>10.64</v>
      </c>
      <c r="BN1648">
        <v>81.599999999999994</v>
      </c>
      <c r="BO1648">
        <v>81.599999999999994</v>
      </c>
      <c r="BQ1648" t="s">
        <v>2027</v>
      </c>
      <c r="BR1648" t="s">
        <v>97</v>
      </c>
      <c r="BS1648" s="3">
        <v>45946</v>
      </c>
      <c r="BT1648" s="4">
        <v>0.42638888888888887</v>
      </c>
      <c r="BU1648" t="s">
        <v>2414</v>
      </c>
      <c r="BV1648" t="s">
        <v>86</v>
      </c>
      <c r="BY1648">
        <v>1200</v>
      </c>
      <c r="CA1648" t="s">
        <v>2029</v>
      </c>
      <c r="CC1648" t="s">
        <v>207</v>
      </c>
      <c r="CD1648">
        <v>7500</v>
      </c>
      <c r="CE1648" t="s">
        <v>147</v>
      </c>
      <c r="CF1648" s="3">
        <v>45947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"080068535553"</f>
        <v>080068535553</v>
      </c>
      <c r="F1649" s="3">
        <v>45945</v>
      </c>
      <c r="G1649">
        <v>202607</v>
      </c>
      <c r="H1649" t="s">
        <v>79</v>
      </c>
      <c r="I1649" t="s">
        <v>80</v>
      </c>
      <c r="J1649" t="s">
        <v>91</v>
      </c>
      <c r="K1649" t="s">
        <v>78</v>
      </c>
      <c r="L1649" t="s">
        <v>206</v>
      </c>
      <c r="M1649" t="s">
        <v>207</v>
      </c>
      <c r="N1649" t="s">
        <v>656</v>
      </c>
      <c r="O1649" t="s">
        <v>95</v>
      </c>
      <c r="P1649" t="str">
        <f>"4170064357                    "</f>
        <v xml:space="preserve">4170064357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121.76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2</v>
      </c>
      <c r="BI1649">
        <v>37.299999999999997</v>
      </c>
      <c r="BJ1649">
        <v>58.8</v>
      </c>
      <c r="BK1649">
        <v>59</v>
      </c>
      <c r="BL1649">
        <v>392.33</v>
      </c>
      <c r="BM1649">
        <v>58.85</v>
      </c>
      <c r="BN1649">
        <v>451.18</v>
      </c>
      <c r="BO1649">
        <v>451.18</v>
      </c>
      <c r="BQ1649" t="s">
        <v>657</v>
      </c>
      <c r="BR1649" t="s">
        <v>97</v>
      </c>
      <c r="BS1649" s="3">
        <v>45947</v>
      </c>
      <c r="BT1649" s="4">
        <v>0.40625</v>
      </c>
      <c r="BU1649" t="s">
        <v>658</v>
      </c>
      <c r="BV1649" t="s">
        <v>86</v>
      </c>
      <c r="BY1649">
        <v>293876.24</v>
      </c>
      <c r="CA1649" t="s">
        <v>211</v>
      </c>
      <c r="CC1649" t="s">
        <v>207</v>
      </c>
      <c r="CD1649">
        <v>7441</v>
      </c>
      <c r="CE1649" t="s">
        <v>191</v>
      </c>
      <c r="CF1649" s="3">
        <v>45950</v>
      </c>
      <c r="CI1649">
        <v>3</v>
      </c>
      <c r="CJ1649">
        <v>2</v>
      </c>
      <c r="CK1649">
        <v>41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"080068535566"</f>
        <v>080068535566</v>
      </c>
      <c r="F1650" s="3">
        <v>45945</v>
      </c>
      <c r="G1650">
        <v>202607</v>
      </c>
      <c r="H1650" t="s">
        <v>79</v>
      </c>
      <c r="I1650" t="s">
        <v>80</v>
      </c>
      <c r="J1650" t="s">
        <v>91</v>
      </c>
      <c r="K1650" t="s">
        <v>78</v>
      </c>
      <c r="L1650" t="s">
        <v>92</v>
      </c>
      <c r="M1650" t="s">
        <v>93</v>
      </c>
      <c r="N1650" t="s">
        <v>1179</v>
      </c>
      <c r="O1650" t="s">
        <v>82</v>
      </c>
      <c r="P1650" t="str">
        <f>"4170064326                    "</f>
        <v xml:space="preserve">4170064326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111.71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16.739999999999998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0.7</v>
      </c>
      <c r="BJ1650">
        <v>9.8000000000000007</v>
      </c>
      <c r="BK1650">
        <v>10</v>
      </c>
      <c r="BL1650">
        <v>371.29</v>
      </c>
      <c r="BM1650">
        <v>55.69</v>
      </c>
      <c r="BN1650">
        <v>426.98</v>
      </c>
      <c r="BO1650">
        <v>426.98</v>
      </c>
      <c r="BQ1650" t="s">
        <v>1180</v>
      </c>
      <c r="BR1650" t="s">
        <v>97</v>
      </c>
      <c r="BS1650" s="3">
        <v>45946</v>
      </c>
      <c r="BT1650" s="4">
        <v>0.41666666666666669</v>
      </c>
      <c r="BU1650" t="s">
        <v>1873</v>
      </c>
      <c r="BV1650" t="s">
        <v>86</v>
      </c>
      <c r="BY1650">
        <v>49073.87</v>
      </c>
      <c r="BZ1650" t="s">
        <v>30</v>
      </c>
      <c r="CA1650" t="s">
        <v>1699</v>
      </c>
      <c r="CC1650" t="s">
        <v>93</v>
      </c>
      <c r="CD1650">
        <v>3699</v>
      </c>
      <c r="CE1650" t="s">
        <v>147</v>
      </c>
      <c r="CF1650" s="3">
        <v>45947</v>
      </c>
      <c r="CI1650">
        <v>1</v>
      </c>
      <c r="CJ1650">
        <v>1</v>
      </c>
      <c r="CK1650">
        <v>21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"080068535655"</f>
        <v>080068535655</v>
      </c>
      <c r="F1651" s="3">
        <v>45945</v>
      </c>
      <c r="G1651">
        <v>202607</v>
      </c>
      <c r="H1651" t="s">
        <v>79</v>
      </c>
      <c r="I1651" t="s">
        <v>80</v>
      </c>
      <c r="J1651" t="s">
        <v>91</v>
      </c>
      <c r="K1651" t="s">
        <v>78</v>
      </c>
      <c r="L1651" t="s">
        <v>75</v>
      </c>
      <c r="M1651" t="s">
        <v>76</v>
      </c>
      <c r="N1651" t="s">
        <v>2415</v>
      </c>
      <c r="O1651" t="s">
        <v>82</v>
      </c>
      <c r="P1651" t="str">
        <f>"4170064387                    "</f>
        <v xml:space="preserve">4170064387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17.46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1.4</v>
      </c>
      <c r="BK1651">
        <v>2</v>
      </c>
      <c r="BL1651">
        <v>55.42</v>
      </c>
      <c r="BM1651">
        <v>8.31</v>
      </c>
      <c r="BN1651">
        <v>63.73</v>
      </c>
      <c r="BO1651">
        <v>63.73</v>
      </c>
      <c r="BQ1651" t="s">
        <v>2416</v>
      </c>
      <c r="BR1651" t="s">
        <v>97</v>
      </c>
      <c r="BS1651" s="3">
        <v>45946</v>
      </c>
      <c r="BT1651" s="4">
        <v>0.39791666666666664</v>
      </c>
      <c r="BU1651" t="s">
        <v>2417</v>
      </c>
      <c r="BV1651" t="s">
        <v>86</v>
      </c>
      <c r="BY1651">
        <v>7000</v>
      </c>
      <c r="CA1651" t="s">
        <v>1284</v>
      </c>
      <c r="CC1651" t="s">
        <v>76</v>
      </c>
      <c r="CD1651">
        <v>2170</v>
      </c>
      <c r="CE1651" t="s">
        <v>191</v>
      </c>
      <c r="CF1651" s="3">
        <v>45946</v>
      </c>
      <c r="CI1651">
        <v>1</v>
      </c>
      <c r="CJ1651">
        <v>1</v>
      </c>
      <c r="CK1651">
        <v>22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"080068536292"</f>
        <v>080068536292</v>
      </c>
      <c r="F1652" s="3">
        <v>45945</v>
      </c>
      <c r="G1652">
        <v>202607</v>
      </c>
      <c r="H1652" t="s">
        <v>79</v>
      </c>
      <c r="I1652" t="s">
        <v>80</v>
      </c>
      <c r="J1652" t="s">
        <v>91</v>
      </c>
      <c r="K1652" t="s">
        <v>78</v>
      </c>
      <c r="L1652" t="s">
        <v>108</v>
      </c>
      <c r="M1652" t="s">
        <v>109</v>
      </c>
      <c r="N1652" t="s">
        <v>548</v>
      </c>
      <c r="O1652" t="s">
        <v>82</v>
      </c>
      <c r="P1652" t="str">
        <f>"4170064442                    "</f>
        <v xml:space="preserve">4170064442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22.36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70.959999999999994</v>
      </c>
      <c r="BM1652">
        <v>10.64</v>
      </c>
      <c r="BN1652">
        <v>81.599999999999994</v>
      </c>
      <c r="BO1652">
        <v>81.599999999999994</v>
      </c>
      <c r="BQ1652" t="s">
        <v>549</v>
      </c>
      <c r="BR1652" t="s">
        <v>97</v>
      </c>
      <c r="BS1652" s="3">
        <v>45946</v>
      </c>
      <c r="BT1652" s="4">
        <v>0.37013888888888891</v>
      </c>
      <c r="BU1652" t="s">
        <v>1470</v>
      </c>
      <c r="BV1652" t="s">
        <v>86</v>
      </c>
      <c r="BY1652">
        <v>1200</v>
      </c>
      <c r="CA1652" t="s">
        <v>1090</v>
      </c>
      <c r="CC1652" t="s">
        <v>109</v>
      </c>
      <c r="CD1652">
        <v>6001</v>
      </c>
      <c r="CE1652" t="s">
        <v>147</v>
      </c>
      <c r="CF1652" s="3">
        <v>45946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"080068536316"</f>
        <v>080068536316</v>
      </c>
      <c r="F1653" s="3">
        <v>45945</v>
      </c>
      <c r="G1653">
        <v>202607</v>
      </c>
      <c r="H1653" t="s">
        <v>79</v>
      </c>
      <c r="I1653" t="s">
        <v>80</v>
      </c>
      <c r="J1653" t="s">
        <v>91</v>
      </c>
      <c r="K1653" t="s">
        <v>78</v>
      </c>
      <c r="L1653" t="s">
        <v>168</v>
      </c>
      <c r="M1653" t="s">
        <v>169</v>
      </c>
      <c r="N1653" t="s">
        <v>923</v>
      </c>
      <c r="O1653" t="s">
        <v>95</v>
      </c>
      <c r="P1653" t="str">
        <f>"4170064301                    "</f>
        <v xml:space="preserve">4170064301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43.23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2</v>
      </c>
      <c r="BI1653">
        <v>12.4</v>
      </c>
      <c r="BJ1653">
        <v>5.7</v>
      </c>
      <c r="BK1653">
        <v>13</v>
      </c>
      <c r="BL1653">
        <v>143.08000000000001</v>
      </c>
      <c r="BM1653">
        <v>21.46</v>
      </c>
      <c r="BN1653">
        <v>164.54</v>
      </c>
      <c r="BO1653">
        <v>164.54</v>
      </c>
      <c r="BQ1653" t="s">
        <v>924</v>
      </c>
      <c r="BR1653" t="s">
        <v>97</v>
      </c>
      <c r="BS1653" s="3">
        <v>45946</v>
      </c>
      <c r="BT1653" s="4">
        <v>0.36805555555555558</v>
      </c>
      <c r="BU1653" t="s">
        <v>2418</v>
      </c>
      <c r="BV1653" t="s">
        <v>86</v>
      </c>
      <c r="BY1653">
        <v>28265.9</v>
      </c>
      <c r="CC1653" t="s">
        <v>169</v>
      </c>
      <c r="CD1653" s="5" t="s">
        <v>926</v>
      </c>
      <c r="CE1653" t="s">
        <v>191</v>
      </c>
      <c r="CF1653" s="3">
        <v>45946</v>
      </c>
      <c r="CI1653">
        <v>1</v>
      </c>
      <c r="CJ1653">
        <v>1</v>
      </c>
      <c r="CK1653">
        <v>41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"080068536484"</f>
        <v>080068536484</v>
      </c>
      <c r="F1654" s="3">
        <v>45945</v>
      </c>
      <c r="G1654">
        <v>202607</v>
      </c>
      <c r="H1654" t="s">
        <v>79</v>
      </c>
      <c r="I1654" t="s">
        <v>80</v>
      </c>
      <c r="J1654" t="s">
        <v>91</v>
      </c>
      <c r="K1654" t="s">
        <v>78</v>
      </c>
      <c r="L1654" t="s">
        <v>168</v>
      </c>
      <c r="M1654" t="s">
        <v>169</v>
      </c>
      <c r="N1654" t="s">
        <v>2419</v>
      </c>
      <c r="O1654" t="s">
        <v>82</v>
      </c>
      <c r="P1654" t="str">
        <f>"4170064455                    "</f>
        <v xml:space="preserve">4170064455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22.36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70.959999999999994</v>
      </c>
      <c r="BM1654">
        <v>10.64</v>
      </c>
      <c r="BN1654">
        <v>81.599999999999994</v>
      </c>
      <c r="BO1654">
        <v>81.599999999999994</v>
      </c>
      <c r="BQ1654" t="s">
        <v>2420</v>
      </c>
      <c r="BR1654" t="s">
        <v>97</v>
      </c>
      <c r="BS1654" s="3">
        <v>45946</v>
      </c>
      <c r="BT1654" s="4">
        <v>0.36805555555555558</v>
      </c>
      <c r="BU1654" t="s">
        <v>2421</v>
      </c>
      <c r="BV1654" t="s">
        <v>86</v>
      </c>
      <c r="BY1654">
        <v>1200</v>
      </c>
      <c r="CC1654" t="s">
        <v>169</v>
      </c>
      <c r="CD1654" s="5" t="s">
        <v>1061</v>
      </c>
      <c r="CE1654" t="s">
        <v>147</v>
      </c>
      <c r="CF1654" s="3">
        <v>45946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"080068536517"</f>
        <v>080068536517</v>
      </c>
      <c r="F1655" s="3">
        <v>45945</v>
      </c>
      <c r="G1655">
        <v>202607</v>
      </c>
      <c r="H1655" t="s">
        <v>79</v>
      </c>
      <c r="I1655" t="s">
        <v>80</v>
      </c>
      <c r="J1655" t="s">
        <v>91</v>
      </c>
      <c r="K1655" t="s">
        <v>78</v>
      </c>
      <c r="L1655" t="s">
        <v>121</v>
      </c>
      <c r="M1655" t="s">
        <v>122</v>
      </c>
      <c r="N1655" t="s">
        <v>159</v>
      </c>
      <c r="O1655" t="s">
        <v>82</v>
      </c>
      <c r="P1655" t="str">
        <f>"4170064453                    "</f>
        <v xml:space="preserve">4170064453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22.36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70.959999999999994</v>
      </c>
      <c r="BM1655">
        <v>10.64</v>
      </c>
      <c r="BN1655">
        <v>81.599999999999994</v>
      </c>
      <c r="BO1655">
        <v>81.599999999999994</v>
      </c>
      <c r="BQ1655" t="s">
        <v>160</v>
      </c>
      <c r="BR1655" t="s">
        <v>97</v>
      </c>
      <c r="BS1655" s="3">
        <v>45946</v>
      </c>
      <c r="BT1655" s="4">
        <v>0.67013888888888884</v>
      </c>
      <c r="BU1655" t="s">
        <v>1436</v>
      </c>
      <c r="BV1655" t="s">
        <v>90</v>
      </c>
      <c r="BW1655" t="s">
        <v>136</v>
      </c>
      <c r="BX1655" t="s">
        <v>787</v>
      </c>
      <c r="BY1655">
        <v>1200</v>
      </c>
      <c r="CA1655" t="s">
        <v>742</v>
      </c>
      <c r="CC1655" t="s">
        <v>122</v>
      </c>
      <c r="CD1655">
        <v>4000</v>
      </c>
      <c r="CE1655" t="s">
        <v>147</v>
      </c>
      <c r="CF1655" s="3">
        <v>45947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"080068536571"</f>
        <v>080068536571</v>
      </c>
      <c r="F1656" s="3">
        <v>45945</v>
      </c>
      <c r="G1656">
        <v>202607</v>
      </c>
      <c r="H1656" t="s">
        <v>79</v>
      </c>
      <c r="I1656" t="s">
        <v>80</v>
      </c>
      <c r="J1656" t="s">
        <v>91</v>
      </c>
      <c r="K1656" t="s">
        <v>78</v>
      </c>
      <c r="L1656" t="s">
        <v>114</v>
      </c>
      <c r="M1656" t="s">
        <v>115</v>
      </c>
      <c r="N1656" t="s">
        <v>774</v>
      </c>
      <c r="O1656" t="s">
        <v>82</v>
      </c>
      <c r="P1656" t="str">
        <f>"4170064431                    "</f>
        <v xml:space="preserve">4170064431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22.36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70.959999999999994</v>
      </c>
      <c r="BM1656">
        <v>10.64</v>
      </c>
      <c r="BN1656">
        <v>81.599999999999994</v>
      </c>
      <c r="BO1656">
        <v>81.599999999999994</v>
      </c>
      <c r="BQ1656" t="s">
        <v>775</v>
      </c>
      <c r="BR1656" t="s">
        <v>97</v>
      </c>
      <c r="BS1656" s="3">
        <v>45946</v>
      </c>
      <c r="BT1656" s="4">
        <v>0.47222222222222221</v>
      </c>
      <c r="BU1656" t="s">
        <v>2396</v>
      </c>
      <c r="BV1656" t="s">
        <v>86</v>
      </c>
      <c r="BY1656">
        <v>1200</v>
      </c>
      <c r="CA1656" t="s">
        <v>119</v>
      </c>
      <c r="CC1656" t="s">
        <v>115</v>
      </c>
      <c r="CD1656">
        <v>5201</v>
      </c>
      <c r="CE1656" t="s">
        <v>147</v>
      </c>
      <c r="CF1656" s="3">
        <v>45947</v>
      </c>
      <c r="CI1656">
        <v>5</v>
      </c>
      <c r="CJ1656">
        <v>1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"080068537243"</f>
        <v>080068537243</v>
      </c>
      <c r="F1657" s="3">
        <v>45945</v>
      </c>
      <c r="G1657">
        <v>202607</v>
      </c>
      <c r="H1657" t="s">
        <v>79</v>
      </c>
      <c r="I1657" t="s">
        <v>80</v>
      </c>
      <c r="J1657" t="s">
        <v>91</v>
      </c>
      <c r="K1657" t="s">
        <v>78</v>
      </c>
      <c r="L1657" t="s">
        <v>121</v>
      </c>
      <c r="M1657" t="s">
        <v>122</v>
      </c>
      <c r="N1657" t="s">
        <v>123</v>
      </c>
      <c r="O1657" t="s">
        <v>82</v>
      </c>
      <c r="P1657" t="str">
        <f>"4170064304                    "</f>
        <v xml:space="preserve">4170064304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44.69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4</v>
      </c>
      <c r="BJ1657">
        <v>3.4</v>
      </c>
      <c r="BK1657">
        <v>4</v>
      </c>
      <c r="BL1657">
        <v>141.85</v>
      </c>
      <c r="BM1657">
        <v>21.28</v>
      </c>
      <c r="BN1657">
        <v>163.13</v>
      </c>
      <c r="BO1657">
        <v>163.13</v>
      </c>
      <c r="BQ1657" t="s">
        <v>124</v>
      </c>
      <c r="BR1657" t="s">
        <v>97</v>
      </c>
      <c r="BS1657" s="3">
        <v>45946</v>
      </c>
      <c r="BT1657" s="4">
        <v>0.33680555555555558</v>
      </c>
      <c r="BU1657" t="s">
        <v>2412</v>
      </c>
      <c r="BV1657" t="s">
        <v>86</v>
      </c>
      <c r="BY1657">
        <v>17248</v>
      </c>
      <c r="CA1657" t="s">
        <v>126</v>
      </c>
      <c r="CC1657" t="s">
        <v>122</v>
      </c>
      <c r="CD1657">
        <v>4051</v>
      </c>
      <c r="CE1657" t="s">
        <v>107</v>
      </c>
      <c r="CF1657" s="3">
        <v>45946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"080068537358"</f>
        <v>080068537358</v>
      </c>
      <c r="F1658" s="3">
        <v>45945</v>
      </c>
      <c r="G1658">
        <v>202607</v>
      </c>
      <c r="H1658" t="s">
        <v>79</v>
      </c>
      <c r="I1658" t="s">
        <v>80</v>
      </c>
      <c r="J1658" t="s">
        <v>91</v>
      </c>
      <c r="K1658" t="s">
        <v>78</v>
      </c>
      <c r="L1658" t="s">
        <v>121</v>
      </c>
      <c r="M1658" t="s">
        <v>122</v>
      </c>
      <c r="N1658" t="s">
        <v>123</v>
      </c>
      <c r="O1658" t="s">
        <v>82</v>
      </c>
      <c r="P1658" t="str">
        <f>"4170064321                    "</f>
        <v xml:space="preserve">4170064321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33.520000000000003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2.8</v>
      </c>
      <c r="BJ1658">
        <v>1.2</v>
      </c>
      <c r="BK1658">
        <v>3</v>
      </c>
      <c r="BL1658">
        <v>106.4</v>
      </c>
      <c r="BM1658">
        <v>15.96</v>
      </c>
      <c r="BN1658">
        <v>122.36</v>
      </c>
      <c r="BO1658">
        <v>122.36</v>
      </c>
      <c r="BQ1658" t="s">
        <v>124</v>
      </c>
      <c r="BR1658" t="s">
        <v>97</v>
      </c>
      <c r="BS1658" s="3">
        <v>45946</v>
      </c>
      <c r="BT1658" s="4">
        <v>0.33680555555555558</v>
      </c>
      <c r="BU1658" t="s">
        <v>2412</v>
      </c>
      <c r="BV1658" t="s">
        <v>86</v>
      </c>
      <c r="BY1658">
        <v>5882.52</v>
      </c>
      <c r="CA1658" t="s">
        <v>126</v>
      </c>
      <c r="CC1658" t="s">
        <v>122</v>
      </c>
      <c r="CD1658">
        <v>4051</v>
      </c>
      <c r="CE1658" t="s">
        <v>107</v>
      </c>
      <c r="CF1658" s="3">
        <v>45946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"080068537362"</f>
        <v>080068537362</v>
      </c>
      <c r="F1659" s="3">
        <v>45945</v>
      </c>
      <c r="G1659">
        <v>202607</v>
      </c>
      <c r="H1659" t="s">
        <v>79</v>
      </c>
      <c r="I1659" t="s">
        <v>80</v>
      </c>
      <c r="J1659" t="s">
        <v>91</v>
      </c>
      <c r="K1659" t="s">
        <v>78</v>
      </c>
      <c r="L1659" t="s">
        <v>300</v>
      </c>
      <c r="M1659" t="s">
        <v>301</v>
      </c>
      <c r="N1659" t="s">
        <v>523</v>
      </c>
      <c r="O1659" t="s">
        <v>82</v>
      </c>
      <c r="P1659" t="str">
        <f>"4170064406                    "</f>
        <v xml:space="preserve">4170064406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31.44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99.79</v>
      </c>
      <c r="BM1659">
        <v>14.97</v>
      </c>
      <c r="BN1659">
        <v>114.76</v>
      </c>
      <c r="BO1659">
        <v>114.76</v>
      </c>
      <c r="BQ1659" t="s">
        <v>524</v>
      </c>
      <c r="BR1659" t="s">
        <v>97</v>
      </c>
      <c r="BS1659" s="3">
        <v>45946</v>
      </c>
      <c r="BT1659" s="4">
        <v>0.39027777777777778</v>
      </c>
      <c r="BU1659" t="s">
        <v>2422</v>
      </c>
      <c r="BV1659" t="s">
        <v>86</v>
      </c>
      <c r="BY1659">
        <v>1200</v>
      </c>
      <c r="CA1659" t="s">
        <v>305</v>
      </c>
      <c r="CC1659" t="s">
        <v>301</v>
      </c>
      <c r="CD1659">
        <v>1748</v>
      </c>
      <c r="CE1659" t="s">
        <v>147</v>
      </c>
      <c r="CF1659" s="3">
        <v>45947</v>
      </c>
      <c r="CI1659">
        <v>1</v>
      </c>
      <c r="CJ1659">
        <v>1</v>
      </c>
      <c r="CK1659">
        <v>24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"080068537378"</f>
        <v>080068537378</v>
      </c>
      <c r="F1660" s="3">
        <v>45945</v>
      </c>
      <c r="G1660">
        <v>202607</v>
      </c>
      <c r="H1660" t="s">
        <v>79</v>
      </c>
      <c r="I1660" t="s">
        <v>80</v>
      </c>
      <c r="J1660" t="s">
        <v>91</v>
      </c>
      <c r="K1660" t="s">
        <v>78</v>
      </c>
      <c r="L1660" t="s">
        <v>206</v>
      </c>
      <c r="M1660" t="s">
        <v>207</v>
      </c>
      <c r="N1660" t="s">
        <v>698</v>
      </c>
      <c r="O1660" t="s">
        <v>82</v>
      </c>
      <c r="P1660" t="str">
        <f>"4170064449                    "</f>
        <v xml:space="preserve">4170064449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22.36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70.959999999999994</v>
      </c>
      <c r="BM1660">
        <v>10.64</v>
      </c>
      <c r="BN1660">
        <v>81.599999999999994</v>
      </c>
      <c r="BO1660">
        <v>81.599999999999994</v>
      </c>
      <c r="BQ1660" t="s">
        <v>699</v>
      </c>
      <c r="BR1660" t="s">
        <v>97</v>
      </c>
      <c r="BS1660" s="3">
        <v>45946</v>
      </c>
      <c r="BT1660" s="4">
        <v>0.41805555555555557</v>
      </c>
      <c r="BU1660" t="s">
        <v>700</v>
      </c>
      <c r="BV1660" t="s">
        <v>86</v>
      </c>
      <c r="BY1660">
        <v>1200</v>
      </c>
      <c r="CA1660" t="s">
        <v>375</v>
      </c>
      <c r="CC1660" t="s">
        <v>207</v>
      </c>
      <c r="CD1660">
        <v>7800</v>
      </c>
      <c r="CE1660" t="s">
        <v>147</v>
      </c>
      <c r="CF1660" s="3">
        <v>45947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"080068537386"</f>
        <v>080068537386</v>
      </c>
      <c r="F1661" s="3">
        <v>45945</v>
      </c>
      <c r="G1661">
        <v>202607</v>
      </c>
      <c r="H1661" t="s">
        <v>79</v>
      </c>
      <c r="I1661" t="s">
        <v>80</v>
      </c>
      <c r="J1661" t="s">
        <v>91</v>
      </c>
      <c r="K1661" t="s">
        <v>78</v>
      </c>
      <c r="L1661" t="s">
        <v>206</v>
      </c>
      <c r="M1661" t="s">
        <v>207</v>
      </c>
      <c r="N1661" t="s">
        <v>1789</v>
      </c>
      <c r="O1661" t="s">
        <v>82</v>
      </c>
      <c r="P1661" t="str">
        <f>"4170064302                    "</f>
        <v xml:space="preserve">4170064302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44.69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4</v>
      </c>
      <c r="BJ1661">
        <v>2.8</v>
      </c>
      <c r="BK1661">
        <v>4</v>
      </c>
      <c r="BL1661">
        <v>141.85</v>
      </c>
      <c r="BM1661">
        <v>21.28</v>
      </c>
      <c r="BN1661">
        <v>163.13</v>
      </c>
      <c r="BO1661">
        <v>163.13</v>
      </c>
      <c r="BQ1661" t="s">
        <v>1790</v>
      </c>
      <c r="BR1661" t="s">
        <v>97</v>
      </c>
      <c r="BS1661" s="3">
        <v>45946</v>
      </c>
      <c r="BT1661" s="4">
        <v>0.36249999999999999</v>
      </c>
      <c r="BU1661" t="s">
        <v>414</v>
      </c>
      <c r="BV1661" t="s">
        <v>86</v>
      </c>
      <c r="BY1661">
        <v>13824</v>
      </c>
      <c r="CA1661" t="s">
        <v>415</v>
      </c>
      <c r="CC1661" t="s">
        <v>207</v>
      </c>
      <c r="CD1661">
        <v>7500</v>
      </c>
      <c r="CE1661" t="s">
        <v>107</v>
      </c>
      <c r="CF1661" s="3">
        <v>45947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"080068537404"</f>
        <v>080068537404</v>
      </c>
      <c r="F1662" s="3">
        <v>45945</v>
      </c>
      <c r="G1662">
        <v>202607</v>
      </c>
      <c r="H1662" t="s">
        <v>79</v>
      </c>
      <c r="I1662" t="s">
        <v>80</v>
      </c>
      <c r="J1662" t="s">
        <v>91</v>
      </c>
      <c r="K1662" t="s">
        <v>78</v>
      </c>
      <c r="L1662" t="s">
        <v>168</v>
      </c>
      <c r="M1662" t="s">
        <v>169</v>
      </c>
      <c r="N1662" t="s">
        <v>1218</v>
      </c>
      <c r="O1662" t="s">
        <v>82</v>
      </c>
      <c r="P1662" t="str">
        <f>"4170064440                    "</f>
        <v xml:space="preserve">4170064440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22.36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0.2</v>
      </c>
      <c r="BJ1662">
        <v>0.7</v>
      </c>
      <c r="BK1662">
        <v>1</v>
      </c>
      <c r="BL1662">
        <v>70.959999999999994</v>
      </c>
      <c r="BM1662">
        <v>10.64</v>
      </c>
      <c r="BN1662">
        <v>81.599999999999994</v>
      </c>
      <c r="BO1662">
        <v>81.599999999999994</v>
      </c>
      <c r="BQ1662" t="s">
        <v>1219</v>
      </c>
      <c r="BR1662" t="s">
        <v>97</v>
      </c>
      <c r="BS1662" s="3">
        <v>45946</v>
      </c>
      <c r="BT1662" s="4">
        <v>0.40972222222222221</v>
      </c>
      <c r="BU1662" t="s">
        <v>2423</v>
      </c>
      <c r="BV1662" t="s">
        <v>86</v>
      </c>
      <c r="BY1662">
        <v>3299.97</v>
      </c>
      <c r="CA1662" s="5" t="s">
        <v>2424</v>
      </c>
      <c r="CC1662" t="s">
        <v>169</v>
      </c>
      <c r="CD1662" s="5" t="s">
        <v>2425</v>
      </c>
      <c r="CE1662" t="s">
        <v>147</v>
      </c>
      <c r="CF1662" s="3">
        <v>45946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"080068537423"</f>
        <v>080068537423</v>
      </c>
      <c r="F1663" s="3">
        <v>45945</v>
      </c>
      <c r="G1663">
        <v>202607</v>
      </c>
      <c r="H1663" t="s">
        <v>79</v>
      </c>
      <c r="I1663" t="s">
        <v>80</v>
      </c>
      <c r="J1663" t="s">
        <v>91</v>
      </c>
      <c r="K1663" t="s">
        <v>78</v>
      </c>
      <c r="L1663" t="s">
        <v>108</v>
      </c>
      <c r="M1663" t="s">
        <v>109</v>
      </c>
      <c r="N1663" t="s">
        <v>2125</v>
      </c>
      <c r="O1663" t="s">
        <v>95</v>
      </c>
      <c r="P1663" t="str">
        <f>"4170064372                    "</f>
        <v xml:space="preserve">4170064372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46.8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10.6</v>
      </c>
      <c r="BJ1663">
        <v>16.7</v>
      </c>
      <c r="BK1663">
        <v>17</v>
      </c>
      <c r="BL1663">
        <v>154.41</v>
      </c>
      <c r="BM1663">
        <v>23.16</v>
      </c>
      <c r="BN1663">
        <v>177.57</v>
      </c>
      <c r="BO1663">
        <v>177.57</v>
      </c>
      <c r="BQ1663" t="s">
        <v>2126</v>
      </c>
      <c r="BR1663" t="s">
        <v>97</v>
      </c>
      <c r="BS1663" s="3">
        <v>45947</v>
      </c>
      <c r="BT1663" s="4">
        <v>0.41805555555555557</v>
      </c>
      <c r="BU1663" t="s">
        <v>2426</v>
      </c>
      <c r="BV1663" t="s">
        <v>86</v>
      </c>
      <c r="BY1663">
        <v>83273.600000000006</v>
      </c>
      <c r="CC1663" t="s">
        <v>109</v>
      </c>
      <c r="CD1663">
        <v>6001</v>
      </c>
      <c r="CE1663" t="s">
        <v>191</v>
      </c>
      <c r="CF1663" s="3">
        <v>45947</v>
      </c>
      <c r="CI1663">
        <v>3</v>
      </c>
      <c r="CJ1663">
        <v>2</v>
      </c>
      <c r="CK1663">
        <v>41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"080068537439"</f>
        <v>080068537439</v>
      </c>
      <c r="F1664" s="3">
        <v>45945</v>
      </c>
      <c r="G1664">
        <v>202607</v>
      </c>
      <c r="H1664" t="s">
        <v>79</v>
      </c>
      <c r="I1664" t="s">
        <v>80</v>
      </c>
      <c r="J1664" t="s">
        <v>91</v>
      </c>
      <c r="K1664" t="s">
        <v>78</v>
      </c>
      <c r="L1664" t="s">
        <v>148</v>
      </c>
      <c r="M1664" t="s">
        <v>149</v>
      </c>
      <c r="N1664" t="s">
        <v>2427</v>
      </c>
      <c r="O1664" t="s">
        <v>82</v>
      </c>
      <c r="P1664" t="str">
        <f>"4170064379                    "</f>
        <v xml:space="preserve">4170064379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17.46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0.2</v>
      </c>
      <c r="BJ1664">
        <v>0.8</v>
      </c>
      <c r="BK1664">
        <v>1</v>
      </c>
      <c r="BL1664">
        <v>55.42</v>
      </c>
      <c r="BM1664">
        <v>8.31</v>
      </c>
      <c r="BN1664">
        <v>63.73</v>
      </c>
      <c r="BO1664">
        <v>63.73</v>
      </c>
      <c r="BQ1664" t="s">
        <v>2428</v>
      </c>
      <c r="BR1664" t="s">
        <v>97</v>
      </c>
      <c r="BS1664" s="3">
        <v>45946</v>
      </c>
      <c r="BT1664" s="4">
        <v>0.38194444444444442</v>
      </c>
      <c r="BU1664" t="s">
        <v>2360</v>
      </c>
      <c r="BV1664" t="s">
        <v>86</v>
      </c>
      <c r="BY1664">
        <v>3810.24</v>
      </c>
      <c r="CA1664" t="s">
        <v>1463</v>
      </c>
      <c r="CC1664" t="s">
        <v>149</v>
      </c>
      <c r="CD1664">
        <v>2190</v>
      </c>
      <c r="CE1664" t="s">
        <v>147</v>
      </c>
      <c r="CF1664" s="3">
        <v>45947</v>
      </c>
      <c r="CI1664">
        <v>1</v>
      </c>
      <c r="CJ1664">
        <v>1</v>
      </c>
      <c r="CK1664">
        <v>22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"080068537455"</f>
        <v>080068537455</v>
      </c>
      <c r="F1665" s="3">
        <v>45945</v>
      </c>
      <c r="G1665">
        <v>202607</v>
      </c>
      <c r="H1665" t="s">
        <v>79</v>
      </c>
      <c r="I1665" t="s">
        <v>80</v>
      </c>
      <c r="J1665" t="s">
        <v>91</v>
      </c>
      <c r="K1665" t="s">
        <v>78</v>
      </c>
      <c r="L1665" t="s">
        <v>985</v>
      </c>
      <c r="M1665" t="s">
        <v>986</v>
      </c>
      <c r="N1665" t="s">
        <v>2429</v>
      </c>
      <c r="O1665" t="s">
        <v>82</v>
      </c>
      <c r="P1665" t="str">
        <f>"4170064439                    "</f>
        <v xml:space="preserve">4170064439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22.36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70.959999999999994</v>
      </c>
      <c r="BM1665">
        <v>10.64</v>
      </c>
      <c r="BN1665">
        <v>81.599999999999994</v>
      </c>
      <c r="BO1665">
        <v>81.599999999999994</v>
      </c>
      <c r="BQ1665" t="s">
        <v>2430</v>
      </c>
      <c r="BR1665" t="s">
        <v>97</v>
      </c>
      <c r="BS1665" s="3">
        <v>45946</v>
      </c>
      <c r="BT1665" s="4">
        <v>0.51180555555555551</v>
      </c>
      <c r="BU1665" t="s">
        <v>2431</v>
      </c>
      <c r="BV1665" t="s">
        <v>86</v>
      </c>
      <c r="BY1665">
        <v>1200</v>
      </c>
      <c r="CA1665" t="s">
        <v>1359</v>
      </c>
      <c r="CC1665" t="s">
        <v>986</v>
      </c>
      <c r="CD1665">
        <v>7600</v>
      </c>
      <c r="CE1665" t="s">
        <v>147</v>
      </c>
      <c r="CF1665" s="3">
        <v>45947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"080068537458"</f>
        <v>080068537458</v>
      </c>
      <c r="F1666" s="3">
        <v>45945</v>
      </c>
      <c r="G1666">
        <v>202607</v>
      </c>
      <c r="H1666" t="s">
        <v>79</v>
      </c>
      <c r="I1666" t="s">
        <v>80</v>
      </c>
      <c r="J1666" t="s">
        <v>91</v>
      </c>
      <c r="K1666" t="s">
        <v>78</v>
      </c>
      <c r="L1666" t="s">
        <v>206</v>
      </c>
      <c r="M1666" t="s">
        <v>207</v>
      </c>
      <c r="N1666" t="s">
        <v>361</v>
      </c>
      <c r="O1666" t="s">
        <v>82</v>
      </c>
      <c r="P1666" t="str">
        <f>"4170064407                    "</f>
        <v xml:space="preserve">4170064407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156.38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14</v>
      </c>
      <c r="BJ1666">
        <v>13.4</v>
      </c>
      <c r="BK1666">
        <v>14</v>
      </c>
      <c r="BL1666">
        <v>496.34</v>
      </c>
      <c r="BM1666">
        <v>74.45</v>
      </c>
      <c r="BN1666">
        <v>570.79</v>
      </c>
      <c r="BO1666">
        <v>570.79</v>
      </c>
      <c r="BQ1666" t="s">
        <v>362</v>
      </c>
      <c r="BR1666" t="s">
        <v>97</v>
      </c>
      <c r="BS1666" s="3">
        <v>45947</v>
      </c>
      <c r="BT1666" s="4">
        <v>0.4152777777777778</v>
      </c>
      <c r="BU1666" t="s">
        <v>363</v>
      </c>
      <c r="BV1666" t="s">
        <v>90</v>
      </c>
      <c r="BW1666" t="s">
        <v>347</v>
      </c>
      <c r="BX1666" t="s">
        <v>2043</v>
      </c>
      <c r="BY1666">
        <v>66960</v>
      </c>
      <c r="CA1666" t="s">
        <v>364</v>
      </c>
      <c r="CC1666" t="s">
        <v>207</v>
      </c>
      <c r="CD1666">
        <v>7535</v>
      </c>
      <c r="CE1666" t="s">
        <v>191</v>
      </c>
      <c r="CF1666" s="3">
        <v>45950</v>
      </c>
      <c r="CI1666">
        <v>1</v>
      </c>
      <c r="CJ1666">
        <v>2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"080068537471"</f>
        <v>080068537471</v>
      </c>
      <c r="F1667" s="3">
        <v>45945</v>
      </c>
      <c r="G1667">
        <v>202607</v>
      </c>
      <c r="H1667" t="s">
        <v>79</v>
      </c>
      <c r="I1667" t="s">
        <v>80</v>
      </c>
      <c r="J1667" t="s">
        <v>91</v>
      </c>
      <c r="K1667" t="s">
        <v>78</v>
      </c>
      <c r="L1667" t="s">
        <v>121</v>
      </c>
      <c r="M1667" t="s">
        <v>122</v>
      </c>
      <c r="N1667" t="s">
        <v>123</v>
      </c>
      <c r="O1667" t="s">
        <v>82</v>
      </c>
      <c r="P1667" t="str">
        <f>"4170064435                    "</f>
        <v xml:space="preserve">4170064435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22.36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70.959999999999994</v>
      </c>
      <c r="BM1667">
        <v>10.64</v>
      </c>
      <c r="BN1667">
        <v>81.599999999999994</v>
      </c>
      <c r="BO1667">
        <v>81.599999999999994</v>
      </c>
      <c r="BQ1667" t="s">
        <v>124</v>
      </c>
      <c r="BR1667" t="s">
        <v>97</v>
      </c>
      <c r="BS1667" s="3">
        <v>45946</v>
      </c>
      <c r="BT1667" s="4">
        <v>0.33680555555555558</v>
      </c>
      <c r="BU1667" t="s">
        <v>2412</v>
      </c>
      <c r="BV1667" t="s">
        <v>86</v>
      </c>
      <c r="BY1667">
        <v>1200</v>
      </c>
      <c r="CA1667" t="s">
        <v>126</v>
      </c>
      <c r="CC1667" t="s">
        <v>122</v>
      </c>
      <c r="CD1667">
        <v>4000</v>
      </c>
      <c r="CE1667" t="s">
        <v>147</v>
      </c>
      <c r="CF1667" s="3">
        <v>45946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"080068537492"</f>
        <v>080068537492</v>
      </c>
      <c r="F1668" s="3">
        <v>45945</v>
      </c>
      <c r="G1668">
        <v>202607</v>
      </c>
      <c r="H1668" t="s">
        <v>79</v>
      </c>
      <c r="I1668" t="s">
        <v>80</v>
      </c>
      <c r="J1668" t="s">
        <v>91</v>
      </c>
      <c r="K1668" t="s">
        <v>78</v>
      </c>
      <c r="L1668" t="s">
        <v>453</v>
      </c>
      <c r="M1668" t="s">
        <v>454</v>
      </c>
      <c r="N1668" t="s">
        <v>2432</v>
      </c>
      <c r="O1668" t="s">
        <v>82</v>
      </c>
      <c r="P1668" t="str">
        <f>"4170064438                    "</f>
        <v xml:space="preserve">4170064438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22.36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70.959999999999994</v>
      </c>
      <c r="BM1668">
        <v>10.64</v>
      </c>
      <c r="BN1668">
        <v>81.599999999999994</v>
      </c>
      <c r="BO1668">
        <v>81.599999999999994</v>
      </c>
      <c r="BQ1668" t="s">
        <v>2433</v>
      </c>
      <c r="BR1668" t="s">
        <v>97</v>
      </c>
      <c r="BS1668" s="3">
        <v>45946</v>
      </c>
      <c r="BT1668" s="4">
        <v>0.39374999999999999</v>
      </c>
      <c r="BU1668" t="s">
        <v>2434</v>
      </c>
      <c r="BV1668" t="s">
        <v>86</v>
      </c>
      <c r="BY1668">
        <v>1200</v>
      </c>
      <c r="CA1668" t="s">
        <v>2391</v>
      </c>
      <c r="CC1668" t="s">
        <v>454</v>
      </c>
      <c r="CD1668">
        <v>3600</v>
      </c>
      <c r="CE1668" t="s">
        <v>147</v>
      </c>
      <c r="CF1668" s="3">
        <v>45947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"080068537505"</f>
        <v>080068537505</v>
      </c>
      <c r="F1669" s="3">
        <v>45945</v>
      </c>
      <c r="G1669">
        <v>202607</v>
      </c>
      <c r="H1669" t="s">
        <v>79</v>
      </c>
      <c r="I1669" t="s">
        <v>80</v>
      </c>
      <c r="J1669" t="s">
        <v>91</v>
      </c>
      <c r="K1669" t="s">
        <v>78</v>
      </c>
      <c r="L1669" t="s">
        <v>108</v>
      </c>
      <c r="M1669" t="s">
        <v>109</v>
      </c>
      <c r="N1669" t="s">
        <v>751</v>
      </c>
      <c r="O1669" t="s">
        <v>82</v>
      </c>
      <c r="P1669" t="str">
        <f>"4170064441                    "</f>
        <v xml:space="preserve">4170064441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22.36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70.959999999999994</v>
      </c>
      <c r="BM1669">
        <v>10.64</v>
      </c>
      <c r="BN1669">
        <v>81.599999999999994</v>
      </c>
      <c r="BO1669">
        <v>81.599999999999994</v>
      </c>
      <c r="BQ1669" t="s">
        <v>752</v>
      </c>
      <c r="BR1669" t="s">
        <v>97</v>
      </c>
      <c r="BS1669" s="3">
        <v>45946</v>
      </c>
      <c r="BT1669" s="4">
        <v>0.37083333333333335</v>
      </c>
      <c r="BU1669" t="s">
        <v>1470</v>
      </c>
      <c r="BV1669" t="s">
        <v>86</v>
      </c>
      <c r="BY1669">
        <v>1200</v>
      </c>
      <c r="CA1669" t="s">
        <v>1090</v>
      </c>
      <c r="CC1669" t="s">
        <v>109</v>
      </c>
      <c r="CD1669">
        <v>6001</v>
      </c>
      <c r="CE1669" t="s">
        <v>147</v>
      </c>
      <c r="CF1669" s="3">
        <v>45946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"080068537523"</f>
        <v>080068537523</v>
      </c>
      <c r="F1670" s="3">
        <v>45945</v>
      </c>
      <c r="G1670">
        <v>202607</v>
      </c>
      <c r="H1670" t="s">
        <v>79</v>
      </c>
      <c r="I1670" t="s">
        <v>80</v>
      </c>
      <c r="J1670" t="s">
        <v>91</v>
      </c>
      <c r="K1670" t="s">
        <v>78</v>
      </c>
      <c r="L1670" t="s">
        <v>168</v>
      </c>
      <c r="M1670" t="s">
        <v>169</v>
      </c>
      <c r="N1670" t="s">
        <v>335</v>
      </c>
      <c r="O1670" t="s">
        <v>82</v>
      </c>
      <c r="P1670" t="str">
        <f>"4170064424                    "</f>
        <v xml:space="preserve">4170064424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22.36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0.2</v>
      </c>
      <c r="BJ1670">
        <v>0.7</v>
      </c>
      <c r="BK1670">
        <v>1</v>
      </c>
      <c r="BL1670">
        <v>70.959999999999994</v>
      </c>
      <c r="BM1670">
        <v>10.64</v>
      </c>
      <c r="BN1670">
        <v>81.599999999999994</v>
      </c>
      <c r="BO1670">
        <v>81.599999999999994</v>
      </c>
      <c r="BQ1670" t="s">
        <v>475</v>
      </c>
      <c r="BR1670" t="s">
        <v>97</v>
      </c>
      <c r="BS1670" s="3">
        <v>45946</v>
      </c>
      <c r="BT1670" s="4">
        <v>0.4375</v>
      </c>
      <c r="BU1670" t="s">
        <v>897</v>
      </c>
      <c r="BV1670" t="s">
        <v>86</v>
      </c>
      <c r="BY1670">
        <v>3699.64</v>
      </c>
      <c r="CC1670" t="s">
        <v>169</v>
      </c>
      <c r="CD1670" s="5" t="s">
        <v>190</v>
      </c>
      <c r="CE1670" t="s">
        <v>147</v>
      </c>
      <c r="CF1670" s="3">
        <v>45946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"080068537643"</f>
        <v>080068537643</v>
      </c>
      <c r="F1671" s="3">
        <v>45945</v>
      </c>
      <c r="G1671">
        <v>202607</v>
      </c>
      <c r="H1671" t="s">
        <v>79</v>
      </c>
      <c r="I1671" t="s">
        <v>80</v>
      </c>
      <c r="J1671" t="s">
        <v>91</v>
      </c>
      <c r="K1671" t="s">
        <v>78</v>
      </c>
      <c r="L1671" t="s">
        <v>271</v>
      </c>
      <c r="M1671" t="s">
        <v>272</v>
      </c>
      <c r="N1671" t="s">
        <v>1489</v>
      </c>
      <c r="O1671" t="s">
        <v>82</v>
      </c>
      <c r="P1671" t="str">
        <f>"4170064394                    "</f>
        <v xml:space="preserve">4170064394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17.46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2.4</v>
      </c>
      <c r="BJ1671">
        <v>0.8</v>
      </c>
      <c r="BK1671">
        <v>3</v>
      </c>
      <c r="BL1671">
        <v>55.42</v>
      </c>
      <c r="BM1671">
        <v>8.31</v>
      </c>
      <c r="BN1671">
        <v>63.73</v>
      </c>
      <c r="BO1671">
        <v>63.73</v>
      </c>
      <c r="BQ1671" t="s">
        <v>1490</v>
      </c>
      <c r="BR1671" t="s">
        <v>97</v>
      </c>
      <c r="BS1671" s="3">
        <v>45946</v>
      </c>
      <c r="BT1671" s="4">
        <v>0.40347222222222223</v>
      </c>
      <c r="BU1671" t="s">
        <v>2407</v>
      </c>
      <c r="BV1671" t="s">
        <v>86</v>
      </c>
      <c r="BY1671">
        <v>3909.35</v>
      </c>
      <c r="CA1671" t="s">
        <v>1659</v>
      </c>
      <c r="CC1671" t="s">
        <v>272</v>
      </c>
      <c r="CD1671">
        <v>1406</v>
      </c>
      <c r="CE1671" t="s">
        <v>191</v>
      </c>
      <c r="CF1671" s="3">
        <v>45946</v>
      </c>
      <c r="CI1671">
        <v>1</v>
      </c>
      <c r="CJ1671">
        <v>1</v>
      </c>
      <c r="CK1671">
        <v>22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"080068537714"</f>
        <v>080068537714</v>
      </c>
      <c r="F1672" s="3">
        <v>45945</v>
      </c>
      <c r="G1672">
        <v>202607</v>
      </c>
      <c r="H1672" t="s">
        <v>79</v>
      </c>
      <c r="I1672" t="s">
        <v>80</v>
      </c>
      <c r="J1672" t="s">
        <v>91</v>
      </c>
      <c r="K1672" t="s">
        <v>78</v>
      </c>
      <c r="L1672" t="s">
        <v>121</v>
      </c>
      <c r="M1672" t="s">
        <v>122</v>
      </c>
      <c r="N1672" t="s">
        <v>123</v>
      </c>
      <c r="O1672" t="s">
        <v>82</v>
      </c>
      <c r="P1672" t="str">
        <f>"4170064306                    "</f>
        <v xml:space="preserve">4170064306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27.94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2.2999999999999998</v>
      </c>
      <c r="BK1672">
        <v>2.5</v>
      </c>
      <c r="BL1672">
        <v>88.68</v>
      </c>
      <c r="BM1672">
        <v>13.3</v>
      </c>
      <c r="BN1672">
        <v>101.98</v>
      </c>
      <c r="BO1672">
        <v>101.98</v>
      </c>
      <c r="BQ1672" t="s">
        <v>124</v>
      </c>
      <c r="BR1672" t="s">
        <v>97</v>
      </c>
      <c r="BS1672" s="3">
        <v>45946</v>
      </c>
      <c r="BT1672" s="4">
        <v>0.33680555555555558</v>
      </c>
      <c r="BU1672" t="s">
        <v>2412</v>
      </c>
      <c r="BV1672" t="s">
        <v>86</v>
      </c>
      <c r="BY1672">
        <v>11564</v>
      </c>
      <c r="CA1672" t="s">
        <v>126</v>
      </c>
      <c r="CC1672" t="s">
        <v>122</v>
      </c>
      <c r="CD1672">
        <v>4051</v>
      </c>
      <c r="CE1672" t="s">
        <v>107</v>
      </c>
      <c r="CF1672" s="3">
        <v>45946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"080068537777"</f>
        <v>080068537777</v>
      </c>
      <c r="F1673" s="3">
        <v>45945</v>
      </c>
      <c r="G1673">
        <v>202607</v>
      </c>
      <c r="H1673" t="s">
        <v>79</v>
      </c>
      <c r="I1673" t="s">
        <v>80</v>
      </c>
      <c r="J1673" t="s">
        <v>91</v>
      </c>
      <c r="K1673" t="s">
        <v>78</v>
      </c>
      <c r="L1673" t="s">
        <v>92</v>
      </c>
      <c r="M1673" t="s">
        <v>93</v>
      </c>
      <c r="N1673" t="s">
        <v>597</v>
      </c>
      <c r="O1673" t="s">
        <v>82</v>
      </c>
      <c r="P1673" t="str">
        <f>"4170064380                    "</f>
        <v xml:space="preserve">4170064380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94.95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5.5</v>
      </c>
      <c r="BJ1673">
        <v>8.3000000000000007</v>
      </c>
      <c r="BK1673">
        <v>8.5</v>
      </c>
      <c r="BL1673">
        <v>301.37</v>
      </c>
      <c r="BM1673">
        <v>45.21</v>
      </c>
      <c r="BN1673">
        <v>346.58</v>
      </c>
      <c r="BO1673">
        <v>346.58</v>
      </c>
      <c r="BQ1673" t="s">
        <v>598</v>
      </c>
      <c r="BR1673" t="s">
        <v>97</v>
      </c>
      <c r="BS1673" s="3">
        <v>45946</v>
      </c>
      <c r="BT1673" s="4">
        <v>0.43819444444444444</v>
      </c>
      <c r="BU1673" t="s">
        <v>2435</v>
      </c>
      <c r="BV1673" t="s">
        <v>86</v>
      </c>
      <c r="BY1673">
        <v>41698.800000000003</v>
      </c>
      <c r="CA1673" t="s">
        <v>600</v>
      </c>
      <c r="CC1673" t="s">
        <v>93</v>
      </c>
      <c r="CD1673">
        <v>3201</v>
      </c>
      <c r="CE1673" t="s">
        <v>107</v>
      </c>
      <c r="CF1673" s="3">
        <v>45947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"080068537826"</f>
        <v>080068537826</v>
      </c>
      <c r="F1674" s="3">
        <v>45945</v>
      </c>
      <c r="G1674">
        <v>202607</v>
      </c>
      <c r="H1674" t="s">
        <v>79</v>
      </c>
      <c r="I1674" t="s">
        <v>80</v>
      </c>
      <c r="J1674" t="s">
        <v>91</v>
      </c>
      <c r="K1674" t="s">
        <v>78</v>
      </c>
      <c r="L1674" t="s">
        <v>168</v>
      </c>
      <c r="M1674" t="s">
        <v>169</v>
      </c>
      <c r="N1674" t="s">
        <v>737</v>
      </c>
      <c r="O1674" t="s">
        <v>95</v>
      </c>
      <c r="P1674" t="str">
        <f>"4170064397                    "</f>
        <v xml:space="preserve">4170064397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46.8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8.4</v>
      </c>
      <c r="BJ1674">
        <v>16.8</v>
      </c>
      <c r="BK1674">
        <v>17</v>
      </c>
      <c r="BL1674">
        <v>154.41</v>
      </c>
      <c r="BM1674">
        <v>23.16</v>
      </c>
      <c r="BN1674">
        <v>177.57</v>
      </c>
      <c r="BO1674">
        <v>177.57</v>
      </c>
      <c r="BQ1674" t="s">
        <v>738</v>
      </c>
      <c r="BR1674" t="s">
        <v>97</v>
      </c>
      <c r="BS1674" s="3">
        <v>45946</v>
      </c>
      <c r="BT1674" s="4">
        <v>0.36249999999999999</v>
      </c>
      <c r="BU1674" t="s">
        <v>2436</v>
      </c>
      <c r="BV1674" t="s">
        <v>86</v>
      </c>
      <c r="BY1674">
        <v>83858.210000000006</v>
      </c>
      <c r="CC1674" t="s">
        <v>169</v>
      </c>
      <c r="CD1674" s="5" t="s">
        <v>173</v>
      </c>
      <c r="CE1674" t="s">
        <v>191</v>
      </c>
      <c r="CF1674" s="3">
        <v>45946</v>
      </c>
      <c r="CI1674">
        <v>1</v>
      </c>
      <c r="CJ1674">
        <v>1</v>
      </c>
      <c r="CK1674">
        <v>41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"080011636226"</f>
        <v>080011636226</v>
      </c>
      <c r="F1675" s="3">
        <v>45931</v>
      </c>
      <c r="G1675">
        <v>202607</v>
      </c>
      <c r="H1675" t="s">
        <v>79</v>
      </c>
      <c r="I1675" t="s">
        <v>80</v>
      </c>
      <c r="J1675" t="s">
        <v>2437</v>
      </c>
      <c r="K1675" t="s">
        <v>78</v>
      </c>
      <c r="L1675" t="s">
        <v>108</v>
      </c>
      <c r="M1675" t="s">
        <v>109</v>
      </c>
      <c r="N1675" t="s">
        <v>2438</v>
      </c>
      <c r="O1675" t="s">
        <v>82</v>
      </c>
      <c r="P1675" t="str">
        <f>"UPLIFTMENT - LUMEC            "</f>
        <v xml:space="preserve">UPLIFTMENT - LUMEC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4</v>
      </c>
      <c r="BJ1675">
        <v>0</v>
      </c>
      <c r="BK1675">
        <v>4</v>
      </c>
      <c r="BL1675">
        <v>0</v>
      </c>
      <c r="BM1675">
        <v>0</v>
      </c>
      <c r="BN1675">
        <v>0</v>
      </c>
      <c r="BO1675">
        <v>0</v>
      </c>
      <c r="BP1675" t="s">
        <v>2439</v>
      </c>
      <c r="BQ1675" t="s">
        <v>2440</v>
      </c>
      <c r="BR1675" t="s">
        <v>2441</v>
      </c>
      <c r="BS1675" s="3">
        <v>45932</v>
      </c>
      <c r="BT1675" s="4">
        <v>0.43472222222222223</v>
      </c>
      <c r="BU1675" t="s">
        <v>2442</v>
      </c>
      <c r="BV1675" t="s">
        <v>86</v>
      </c>
      <c r="BY1675">
        <v>17476.560000000001</v>
      </c>
      <c r="BZ1675" t="s">
        <v>2096</v>
      </c>
      <c r="CA1675" t="s">
        <v>232</v>
      </c>
      <c r="CC1675" t="s">
        <v>109</v>
      </c>
      <c r="CD1675">
        <v>6001</v>
      </c>
      <c r="CE1675" t="s">
        <v>89</v>
      </c>
      <c r="CF1675" s="3">
        <v>45932</v>
      </c>
      <c r="CI1675">
        <v>1</v>
      </c>
      <c r="CJ1675">
        <v>1</v>
      </c>
      <c r="CK1675">
        <v>-1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"080011645850"</f>
        <v>080011645850</v>
      </c>
      <c r="F1676" s="3">
        <v>45945</v>
      </c>
      <c r="G1676">
        <v>202607</v>
      </c>
      <c r="H1676" t="s">
        <v>223</v>
      </c>
      <c r="I1676" t="s">
        <v>224</v>
      </c>
      <c r="J1676" t="s">
        <v>2443</v>
      </c>
      <c r="K1676" t="s">
        <v>78</v>
      </c>
      <c r="L1676" t="s">
        <v>79</v>
      </c>
      <c r="M1676" t="s">
        <v>80</v>
      </c>
      <c r="N1676" t="s">
        <v>81</v>
      </c>
      <c r="O1676" t="s">
        <v>82</v>
      </c>
      <c r="P1676" t="str">
        <f>"ZA1001414361                  "</f>
        <v xml:space="preserve">ZA1001414361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17.46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0.2</v>
      </c>
      <c r="BJ1676">
        <v>0.9</v>
      </c>
      <c r="BK1676">
        <v>1</v>
      </c>
      <c r="BL1676">
        <v>55.42</v>
      </c>
      <c r="BM1676">
        <v>8.31</v>
      </c>
      <c r="BN1676">
        <v>63.73</v>
      </c>
      <c r="BO1676">
        <v>63.73</v>
      </c>
      <c r="BQ1676" t="s">
        <v>83</v>
      </c>
      <c r="BR1676" t="s">
        <v>2444</v>
      </c>
      <c r="BS1676" s="3">
        <v>45946</v>
      </c>
      <c r="BT1676" s="4">
        <v>0.41666666666666669</v>
      </c>
      <c r="BU1676" t="s">
        <v>85</v>
      </c>
      <c r="BV1676" t="s">
        <v>86</v>
      </c>
      <c r="BY1676">
        <v>4285.84</v>
      </c>
      <c r="BZ1676" t="s">
        <v>87</v>
      </c>
      <c r="CA1676" t="s">
        <v>88</v>
      </c>
      <c r="CC1676" t="s">
        <v>80</v>
      </c>
      <c r="CD1676">
        <v>1619</v>
      </c>
      <c r="CE1676" t="s">
        <v>89</v>
      </c>
      <c r="CF1676" s="3">
        <v>45946</v>
      </c>
      <c r="CI1676">
        <v>1</v>
      </c>
      <c r="CJ1676">
        <v>1</v>
      </c>
      <c r="CK1676">
        <v>22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"080068538294"</f>
        <v>080068538294</v>
      </c>
      <c r="F1677" s="3">
        <v>45945</v>
      </c>
      <c r="G1677">
        <v>202607</v>
      </c>
      <c r="H1677" t="s">
        <v>79</v>
      </c>
      <c r="I1677" t="s">
        <v>80</v>
      </c>
      <c r="J1677" t="s">
        <v>91</v>
      </c>
      <c r="K1677" t="s">
        <v>78</v>
      </c>
      <c r="L1677" t="s">
        <v>102</v>
      </c>
      <c r="M1677" t="s">
        <v>103</v>
      </c>
      <c r="N1677" t="s">
        <v>560</v>
      </c>
      <c r="O1677" t="s">
        <v>226</v>
      </c>
      <c r="P1677" t="str">
        <f>"4170064434                    "</f>
        <v xml:space="preserve">4170064434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35.1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16.600000000000001</v>
      </c>
      <c r="BJ1677">
        <v>8.1999999999999993</v>
      </c>
      <c r="BK1677">
        <v>17</v>
      </c>
      <c r="BL1677">
        <v>111.41</v>
      </c>
      <c r="BM1677">
        <v>16.71</v>
      </c>
      <c r="BN1677">
        <v>128.12</v>
      </c>
      <c r="BO1677">
        <v>128.12</v>
      </c>
      <c r="BQ1677" t="s">
        <v>561</v>
      </c>
      <c r="BR1677" t="s">
        <v>97</v>
      </c>
      <c r="BS1677" s="3">
        <v>45946</v>
      </c>
      <c r="BT1677" s="4">
        <v>0.35416666666666669</v>
      </c>
      <c r="BU1677" t="s">
        <v>562</v>
      </c>
      <c r="BV1677" t="s">
        <v>86</v>
      </c>
      <c r="BY1677">
        <v>41123.25</v>
      </c>
      <c r="CA1677" t="s">
        <v>621</v>
      </c>
      <c r="CC1677" t="s">
        <v>103</v>
      </c>
      <c r="CD1677">
        <v>1451</v>
      </c>
      <c r="CE1677" t="s">
        <v>191</v>
      </c>
      <c r="CF1677" s="3">
        <v>45947</v>
      </c>
      <c r="CI1677">
        <v>1</v>
      </c>
      <c r="CJ1677">
        <v>1</v>
      </c>
      <c r="CK1677">
        <v>32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"080068539561"</f>
        <v>080068539561</v>
      </c>
      <c r="F1678" s="3">
        <v>45945</v>
      </c>
      <c r="G1678">
        <v>202607</v>
      </c>
      <c r="H1678" t="s">
        <v>79</v>
      </c>
      <c r="I1678" t="s">
        <v>80</v>
      </c>
      <c r="J1678" t="s">
        <v>91</v>
      </c>
      <c r="K1678" t="s">
        <v>78</v>
      </c>
      <c r="L1678" t="s">
        <v>322</v>
      </c>
      <c r="M1678" t="s">
        <v>322</v>
      </c>
      <c r="N1678" t="s">
        <v>481</v>
      </c>
      <c r="O1678" t="s">
        <v>82</v>
      </c>
      <c r="P1678" t="str">
        <f>"4170064331                    "</f>
        <v xml:space="preserve">4170064331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62.87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3</v>
      </c>
      <c r="BJ1678">
        <v>1.1000000000000001</v>
      </c>
      <c r="BK1678">
        <v>3</v>
      </c>
      <c r="BL1678">
        <v>199.55</v>
      </c>
      <c r="BM1678">
        <v>29.93</v>
      </c>
      <c r="BN1678">
        <v>229.48</v>
      </c>
      <c r="BO1678">
        <v>229.48</v>
      </c>
      <c r="BQ1678" t="s">
        <v>482</v>
      </c>
      <c r="BR1678" t="s">
        <v>97</v>
      </c>
      <c r="BS1678" s="3">
        <v>45946</v>
      </c>
      <c r="BT1678" s="4">
        <v>0.49791666666666667</v>
      </c>
      <c r="BU1678" t="s">
        <v>378</v>
      </c>
      <c r="BV1678" t="s">
        <v>86</v>
      </c>
      <c r="BY1678">
        <v>5510</v>
      </c>
      <c r="CA1678" t="s">
        <v>326</v>
      </c>
      <c r="CC1678" t="s">
        <v>322</v>
      </c>
      <c r="CD1678">
        <v>7646</v>
      </c>
      <c r="CE1678" t="s">
        <v>191</v>
      </c>
      <c r="CF1678" s="3">
        <v>45947</v>
      </c>
      <c r="CI1678">
        <v>1</v>
      </c>
      <c r="CJ1678">
        <v>1</v>
      </c>
      <c r="CK1678">
        <v>23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"080068539590"</f>
        <v>080068539590</v>
      </c>
      <c r="F1679" s="3">
        <v>45945</v>
      </c>
      <c r="G1679">
        <v>202607</v>
      </c>
      <c r="H1679" t="s">
        <v>79</v>
      </c>
      <c r="I1679" t="s">
        <v>80</v>
      </c>
      <c r="J1679" t="s">
        <v>91</v>
      </c>
      <c r="K1679" t="s">
        <v>78</v>
      </c>
      <c r="L1679" t="s">
        <v>114</v>
      </c>
      <c r="M1679" t="s">
        <v>115</v>
      </c>
      <c r="N1679" t="s">
        <v>746</v>
      </c>
      <c r="O1679" t="s">
        <v>82</v>
      </c>
      <c r="P1679" t="str">
        <f>"4170064418                    "</f>
        <v xml:space="preserve">4170064418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33.520000000000003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3</v>
      </c>
      <c r="BJ1679">
        <v>1.9</v>
      </c>
      <c r="BK1679">
        <v>3</v>
      </c>
      <c r="BL1679">
        <v>106.4</v>
      </c>
      <c r="BM1679">
        <v>15.96</v>
      </c>
      <c r="BN1679">
        <v>122.36</v>
      </c>
      <c r="BO1679">
        <v>122.36</v>
      </c>
      <c r="BQ1679" t="s">
        <v>747</v>
      </c>
      <c r="BR1679" t="s">
        <v>97</v>
      </c>
      <c r="BS1679" s="3">
        <v>45946</v>
      </c>
      <c r="BT1679" s="4">
        <v>0.46527777777777779</v>
      </c>
      <c r="BU1679" t="s">
        <v>2379</v>
      </c>
      <c r="BV1679" t="s">
        <v>90</v>
      </c>
      <c r="BY1679">
        <v>9600</v>
      </c>
      <c r="CA1679" t="s">
        <v>749</v>
      </c>
      <c r="CC1679" t="s">
        <v>115</v>
      </c>
      <c r="CD1679">
        <v>5201</v>
      </c>
      <c r="CE1679" t="s">
        <v>191</v>
      </c>
      <c r="CF1679" s="3">
        <v>45947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"080068539626"</f>
        <v>080068539626</v>
      </c>
      <c r="F1680" s="3">
        <v>45945</v>
      </c>
      <c r="G1680">
        <v>202607</v>
      </c>
      <c r="H1680" t="s">
        <v>79</v>
      </c>
      <c r="I1680" t="s">
        <v>80</v>
      </c>
      <c r="J1680" t="s">
        <v>91</v>
      </c>
      <c r="K1680" t="s">
        <v>78</v>
      </c>
      <c r="L1680" t="s">
        <v>102</v>
      </c>
      <c r="M1680" t="s">
        <v>103</v>
      </c>
      <c r="N1680" t="s">
        <v>560</v>
      </c>
      <c r="O1680" t="s">
        <v>82</v>
      </c>
      <c r="P1680" t="str">
        <f>"4170064446                    "</f>
        <v xml:space="preserve">4170064446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17.46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0.9</v>
      </c>
      <c r="BJ1680">
        <v>1.2</v>
      </c>
      <c r="BK1680">
        <v>2</v>
      </c>
      <c r="BL1680">
        <v>55.42</v>
      </c>
      <c r="BM1680">
        <v>8.31</v>
      </c>
      <c r="BN1680">
        <v>63.73</v>
      </c>
      <c r="BO1680">
        <v>63.73</v>
      </c>
      <c r="BQ1680" t="s">
        <v>561</v>
      </c>
      <c r="BR1680" t="s">
        <v>97</v>
      </c>
      <c r="BS1680" s="3">
        <v>45946</v>
      </c>
      <c r="BT1680" s="4">
        <v>0.35555555555555557</v>
      </c>
      <c r="BU1680" t="s">
        <v>562</v>
      </c>
      <c r="BV1680" t="s">
        <v>86</v>
      </c>
      <c r="BY1680">
        <v>6110.1</v>
      </c>
      <c r="CA1680" t="s">
        <v>621</v>
      </c>
      <c r="CC1680" t="s">
        <v>103</v>
      </c>
      <c r="CD1680">
        <v>1451</v>
      </c>
      <c r="CE1680" t="s">
        <v>191</v>
      </c>
      <c r="CF1680" s="3">
        <v>45947</v>
      </c>
      <c r="CI1680">
        <v>1</v>
      </c>
      <c r="CJ1680">
        <v>1</v>
      </c>
      <c r="CK1680">
        <v>22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"080068539648"</f>
        <v>080068539648</v>
      </c>
      <c r="F1681" s="3">
        <v>45945</v>
      </c>
      <c r="G1681">
        <v>202607</v>
      </c>
      <c r="H1681" t="s">
        <v>79</v>
      </c>
      <c r="I1681" t="s">
        <v>80</v>
      </c>
      <c r="J1681" t="s">
        <v>91</v>
      </c>
      <c r="K1681" t="s">
        <v>78</v>
      </c>
      <c r="L1681" t="s">
        <v>114</v>
      </c>
      <c r="M1681" t="s">
        <v>115</v>
      </c>
      <c r="N1681" t="s">
        <v>881</v>
      </c>
      <c r="O1681" t="s">
        <v>95</v>
      </c>
      <c r="P1681" t="str">
        <f>"4170064480                    "</f>
        <v xml:space="preserve">4170064480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91.42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42</v>
      </c>
      <c r="BJ1681">
        <v>20.6</v>
      </c>
      <c r="BK1681">
        <v>42</v>
      </c>
      <c r="BL1681">
        <v>296.02999999999997</v>
      </c>
      <c r="BM1681">
        <v>44.4</v>
      </c>
      <c r="BN1681">
        <v>340.43</v>
      </c>
      <c r="BO1681">
        <v>340.43</v>
      </c>
      <c r="BQ1681" t="s">
        <v>882</v>
      </c>
      <c r="BR1681" t="s">
        <v>97</v>
      </c>
      <c r="BS1681" s="3">
        <v>45947</v>
      </c>
      <c r="BT1681" s="4">
        <v>0.64375000000000004</v>
      </c>
      <c r="BU1681" t="s">
        <v>1293</v>
      </c>
      <c r="BV1681" t="s">
        <v>86</v>
      </c>
      <c r="BY1681">
        <v>103200</v>
      </c>
      <c r="CA1681" t="s">
        <v>749</v>
      </c>
      <c r="CC1681" t="s">
        <v>115</v>
      </c>
      <c r="CD1681">
        <v>5201</v>
      </c>
      <c r="CE1681" t="s">
        <v>191</v>
      </c>
      <c r="CF1681" s="3">
        <v>45947</v>
      </c>
      <c r="CI1681">
        <v>3</v>
      </c>
      <c r="CJ1681">
        <v>2</v>
      </c>
      <c r="CK1681">
        <v>41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"080068539680"</f>
        <v>080068539680</v>
      </c>
      <c r="F1682" s="3">
        <v>45945</v>
      </c>
      <c r="G1682">
        <v>202607</v>
      </c>
      <c r="H1682" t="s">
        <v>79</v>
      </c>
      <c r="I1682" t="s">
        <v>80</v>
      </c>
      <c r="J1682" t="s">
        <v>91</v>
      </c>
      <c r="K1682" t="s">
        <v>78</v>
      </c>
      <c r="L1682" t="s">
        <v>121</v>
      </c>
      <c r="M1682" t="s">
        <v>122</v>
      </c>
      <c r="N1682" t="s">
        <v>123</v>
      </c>
      <c r="O1682" t="s">
        <v>82</v>
      </c>
      <c r="P1682" t="str">
        <f>"4170064444                    "</f>
        <v xml:space="preserve">4170064444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55.86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5</v>
      </c>
      <c r="BJ1682">
        <v>2</v>
      </c>
      <c r="BK1682">
        <v>5</v>
      </c>
      <c r="BL1682">
        <v>177.3</v>
      </c>
      <c r="BM1682">
        <v>26.6</v>
      </c>
      <c r="BN1682">
        <v>203.9</v>
      </c>
      <c r="BO1682">
        <v>203.9</v>
      </c>
      <c r="BQ1682" t="s">
        <v>124</v>
      </c>
      <c r="BR1682" t="s">
        <v>97</v>
      </c>
      <c r="BS1682" s="3">
        <v>45946</v>
      </c>
      <c r="BT1682" s="4">
        <v>0.33680555555555558</v>
      </c>
      <c r="BU1682" t="s">
        <v>2412</v>
      </c>
      <c r="BV1682" t="s">
        <v>86</v>
      </c>
      <c r="BY1682">
        <v>9984</v>
      </c>
      <c r="CA1682" t="s">
        <v>126</v>
      </c>
      <c r="CC1682" t="s">
        <v>122</v>
      </c>
      <c r="CD1682">
        <v>4051</v>
      </c>
      <c r="CE1682" t="s">
        <v>107</v>
      </c>
      <c r="CF1682" s="3">
        <v>45946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"080068539728"</f>
        <v>080068539728</v>
      </c>
      <c r="F1683" s="3">
        <v>45945</v>
      </c>
      <c r="G1683">
        <v>202607</v>
      </c>
      <c r="H1683" t="s">
        <v>79</v>
      </c>
      <c r="I1683" t="s">
        <v>80</v>
      </c>
      <c r="J1683" t="s">
        <v>91</v>
      </c>
      <c r="K1683" t="s">
        <v>78</v>
      </c>
      <c r="L1683" t="s">
        <v>121</v>
      </c>
      <c r="M1683" t="s">
        <v>122</v>
      </c>
      <c r="N1683" t="s">
        <v>1557</v>
      </c>
      <c r="O1683" t="s">
        <v>95</v>
      </c>
      <c r="P1683" t="str">
        <f>"4170064483                    "</f>
        <v xml:space="preserve">4170064483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80.709999999999994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2</v>
      </c>
      <c r="BI1683">
        <v>36</v>
      </c>
      <c r="BJ1683">
        <v>25.9</v>
      </c>
      <c r="BK1683">
        <v>36</v>
      </c>
      <c r="BL1683">
        <v>262.04000000000002</v>
      </c>
      <c r="BM1683">
        <v>39.31</v>
      </c>
      <c r="BN1683">
        <v>301.35000000000002</v>
      </c>
      <c r="BO1683">
        <v>301.35000000000002</v>
      </c>
      <c r="BQ1683" t="s">
        <v>1558</v>
      </c>
      <c r="BR1683" t="s">
        <v>97</v>
      </c>
      <c r="BS1683" s="3">
        <v>45946</v>
      </c>
      <c r="BT1683" s="4">
        <v>0.36944444444444446</v>
      </c>
      <c r="BU1683" t="s">
        <v>2445</v>
      </c>
      <c r="BV1683" t="s">
        <v>86</v>
      </c>
      <c r="BY1683">
        <v>64800</v>
      </c>
      <c r="CA1683" t="s">
        <v>146</v>
      </c>
      <c r="CC1683" t="s">
        <v>122</v>
      </c>
      <c r="CD1683">
        <v>4001</v>
      </c>
      <c r="CE1683" t="s">
        <v>191</v>
      </c>
      <c r="CF1683" s="3">
        <v>45946</v>
      </c>
      <c r="CI1683">
        <v>1</v>
      </c>
      <c r="CJ1683">
        <v>1</v>
      </c>
      <c r="CK1683">
        <v>41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"080068539753"</f>
        <v>080068539753</v>
      </c>
      <c r="F1684" s="3">
        <v>45945</v>
      </c>
      <c r="G1684">
        <v>202607</v>
      </c>
      <c r="H1684" t="s">
        <v>79</v>
      </c>
      <c r="I1684" t="s">
        <v>80</v>
      </c>
      <c r="J1684" t="s">
        <v>91</v>
      </c>
      <c r="K1684" t="s">
        <v>78</v>
      </c>
      <c r="L1684" t="s">
        <v>218</v>
      </c>
      <c r="M1684" t="s">
        <v>219</v>
      </c>
      <c r="N1684" t="s">
        <v>443</v>
      </c>
      <c r="O1684" t="s">
        <v>82</v>
      </c>
      <c r="P1684" t="str">
        <f>"4170064467                    "</f>
        <v xml:space="preserve">4170064467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17.46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1.8</v>
      </c>
      <c r="BJ1684">
        <v>3.8</v>
      </c>
      <c r="BK1684">
        <v>4</v>
      </c>
      <c r="BL1684">
        <v>55.42</v>
      </c>
      <c r="BM1684">
        <v>8.31</v>
      </c>
      <c r="BN1684">
        <v>63.73</v>
      </c>
      <c r="BO1684">
        <v>63.73</v>
      </c>
      <c r="BQ1684" t="s">
        <v>444</v>
      </c>
      <c r="BR1684" t="s">
        <v>97</v>
      </c>
      <c r="BS1684" s="3">
        <v>45946</v>
      </c>
      <c r="BT1684" s="4">
        <v>0.4152777777777778</v>
      </c>
      <c r="BU1684" t="s">
        <v>2446</v>
      </c>
      <c r="BV1684" t="s">
        <v>86</v>
      </c>
      <c r="BY1684">
        <v>19025.599999999999</v>
      </c>
      <c r="CA1684" t="s">
        <v>1434</v>
      </c>
      <c r="CC1684" t="s">
        <v>219</v>
      </c>
      <c r="CD1684">
        <v>1559</v>
      </c>
      <c r="CE1684" t="s">
        <v>107</v>
      </c>
      <c r="CF1684" s="3">
        <v>45946</v>
      </c>
      <c r="CI1684">
        <v>1</v>
      </c>
      <c r="CJ1684">
        <v>1</v>
      </c>
      <c r="CK1684">
        <v>22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"080068539775"</f>
        <v>080068539775</v>
      </c>
      <c r="F1685" s="3">
        <v>45945</v>
      </c>
      <c r="G1685">
        <v>202607</v>
      </c>
      <c r="H1685" t="s">
        <v>79</v>
      </c>
      <c r="I1685" t="s">
        <v>80</v>
      </c>
      <c r="J1685" t="s">
        <v>91</v>
      </c>
      <c r="K1685" t="s">
        <v>78</v>
      </c>
      <c r="L1685" t="s">
        <v>233</v>
      </c>
      <c r="M1685" t="s">
        <v>234</v>
      </c>
      <c r="N1685" t="s">
        <v>2447</v>
      </c>
      <c r="O1685" t="s">
        <v>82</v>
      </c>
      <c r="P1685" t="str">
        <f>"4170064386                    "</f>
        <v xml:space="preserve">4170064386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22.36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0.8</v>
      </c>
      <c r="BJ1685">
        <v>1.3</v>
      </c>
      <c r="BK1685">
        <v>1.5</v>
      </c>
      <c r="BL1685">
        <v>70.959999999999994</v>
      </c>
      <c r="BM1685">
        <v>10.64</v>
      </c>
      <c r="BN1685">
        <v>81.599999999999994</v>
      </c>
      <c r="BO1685">
        <v>81.599999999999994</v>
      </c>
      <c r="BQ1685" t="s">
        <v>2448</v>
      </c>
      <c r="BR1685" t="s">
        <v>97</v>
      </c>
      <c r="BS1685" s="3">
        <v>45946</v>
      </c>
      <c r="BT1685" s="4">
        <v>0.31666666666666665</v>
      </c>
      <c r="BU1685" t="s">
        <v>2449</v>
      </c>
      <c r="BV1685" t="s">
        <v>86</v>
      </c>
      <c r="BY1685">
        <v>6379.08</v>
      </c>
      <c r="CA1685">
        <v>7712195338085</v>
      </c>
      <c r="CC1685" t="s">
        <v>234</v>
      </c>
      <c r="CD1685" s="5" t="s">
        <v>238</v>
      </c>
      <c r="CE1685" t="s">
        <v>147</v>
      </c>
      <c r="CF1685" s="3">
        <v>45946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"080068539811"</f>
        <v>080068539811</v>
      </c>
      <c r="F1686" s="3">
        <v>45945</v>
      </c>
      <c r="G1686">
        <v>202607</v>
      </c>
      <c r="H1686" t="s">
        <v>79</v>
      </c>
      <c r="I1686" t="s">
        <v>80</v>
      </c>
      <c r="J1686" t="s">
        <v>91</v>
      </c>
      <c r="K1686" t="s">
        <v>78</v>
      </c>
      <c r="L1686" t="s">
        <v>114</v>
      </c>
      <c r="M1686" t="s">
        <v>115</v>
      </c>
      <c r="N1686" t="s">
        <v>746</v>
      </c>
      <c r="O1686" t="s">
        <v>82</v>
      </c>
      <c r="P1686" t="str">
        <f>"4170064445                    "</f>
        <v xml:space="preserve">4170064445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22.36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70.959999999999994</v>
      </c>
      <c r="BM1686">
        <v>10.64</v>
      </c>
      <c r="BN1686">
        <v>81.599999999999994</v>
      </c>
      <c r="BO1686">
        <v>81.599999999999994</v>
      </c>
      <c r="BQ1686" t="s">
        <v>747</v>
      </c>
      <c r="BR1686" t="s">
        <v>97</v>
      </c>
      <c r="BS1686" s="3">
        <v>45946</v>
      </c>
      <c r="BT1686" s="4">
        <v>0.46527777777777779</v>
      </c>
      <c r="BU1686" t="s">
        <v>2379</v>
      </c>
      <c r="BV1686" t="s">
        <v>90</v>
      </c>
      <c r="BY1686">
        <v>1200</v>
      </c>
      <c r="CA1686" t="s">
        <v>749</v>
      </c>
      <c r="CC1686" t="s">
        <v>115</v>
      </c>
      <c r="CD1686">
        <v>5200</v>
      </c>
      <c r="CE1686" t="s">
        <v>147</v>
      </c>
      <c r="CF1686" s="3">
        <v>45947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"080068539840"</f>
        <v>080068539840</v>
      </c>
      <c r="F1687" s="3">
        <v>45945</v>
      </c>
      <c r="G1687">
        <v>202607</v>
      </c>
      <c r="H1687" t="s">
        <v>79</v>
      </c>
      <c r="I1687" t="s">
        <v>80</v>
      </c>
      <c r="J1687" t="s">
        <v>91</v>
      </c>
      <c r="K1687" t="s">
        <v>78</v>
      </c>
      <c r="L1687" t="s">
        <v>108</v>
      </c>
      <c r="M1687" t="s">
        <v>109</v>
      </c>
      <c r="N1687" t="s">
        <v>515</v>
      </c>
      <c r="O1687" t="s">
        <v>82</v>
      </c>
      <c r="P1687" t="str">
        <f>"4170064443                    "</f>
        <v xml:space="preserve">4170064443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22.36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70.959999999999994</v>
      </c>
      <c r="BM1687">
        <v>10.64</v>
      </c>
      <c r="BN1687">
        <v>81.599999999999994</v>
      </c>
      <c r="BO1687">
        <v>81.599999999999994</v>
      </c>
      <c r="BQ1687" t="s">
        <v>516</v>
      </c>
      <c r="BR1687" t="s">
        <v>97</v>
      </c>
      <c r="BS1687" s="3">
        <v>45946</v>
      </c>
      <c r="BT1687" s="4">
        <v>0.41597222222222224</v>
      </c>
      <c r="BU1687" t="s">
        <v>2405</v>
      </c>
      <c r="BV1687" t="s">
        <v>86</v>
      </c>
      <c r="BY1687">
        <v>1200</v>
      </c>
      <c r="CA1687" t="s">
        <v>113</v>
      </c>
      <c r="CC1687" t="s">
        <v>109</v>
      </c>
      <c r="CD1687">
        <v>6001</v>
      </c>
      <c r="CE1687" t="s">
        <v>147</v>
      </c>
      <c r="CF1687" s="3">
        <v>45946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"080068539886"</f>
        <v>080068539886</v>
      </c>
      <c r="F1688" s="3">
        <v>45945</v>
      </c>
      <c r="G1688">
        <v>202607</v>
      </c>
      <c r="H1688" t="s">
        <v>79</v>
      </c>
      <c r="I1688" t="s">
        <v>80</v>
      </c>
      <c r="J1688" t="s">
        <v>91</v>
      </c>
      <c r="K1688" t="s">
        <v>78</v>
      </c>
      <c r="L1688" t="s">
        <v>121</v>
      </c>
      <c r="M1688" t="s">
        <v>122</v>
      </c>
      <c r="N1688" t="s">
        <v>123</v>
      </c>
      <c r="O1688" t="s">
        <v>82</v>
      </c>
      <c r="P1688" t="str">
        <f>"4170064469                    "</f>
        <v xml:space="preserve">4170064469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22.36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70.959999999999994</v>
      </c>
      <c r="BM1688">
        <v>10.64</v>
      </c>
      <c r="BN1688">
        <v>81.599999999999994</v>
      </c>
      <c r="BO1688">
        <v>81.599999999999994</v>
      </c>
      <c r="BQ1688" t="s">
        <v>124</v>
      </c>
      <c r="BR1688" t="s">
        <v>97</v>
      </c>
      <c r="BS1688" s="3">
        <v>45946</v>
      </c>
      <c r="BT1688" s="4">
        <v>0.33680555555555558</v>
      </c>
      <c r="BU1688" t="s">
        <v>2412</v>
      </c>
      <c r="BV1688" t="s">
        <v>86</v>
      </c>
      <c r="BY1688">
        <v>1200</v>
      </c>
      <c r="CA1688" t="s">
        <v>126</v>
      </c>
      <c r="CC1688" t="s">
        <v>122</v>
      </c>
      <c r="CD1688">
        <v>4000</v>
      </c>
      <c r="CE1688" t="s">
        <v>147</v>
      </c>
      <c r="CF1688" s="3">
        <v>45946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"080068539910"</f>
        <v>080068539910</v>
      </c>
      <c r="F1689" s="3">
        <v>45945</v>
      </c>
      <c r="G1689">
        <v>202607</v>
      </c>
      <c r="H1689" t="s">
        <v>79</v>
      </c>
      <c r="I1689" t="s">
        <v>80</v>
      </c>
      <c r="J1689" t="s">
        <v>91</v>
      </c>
      <c r="K1689" t="s">
        <v>78</v>
      </c>
      <c r="L1689" t="s">
        <v>121</v>
      </c>
      <c r="M1689" t="s">
        <v>122</v>
      </c>
      <c r="N1689" t="s">
        <v>318</v>
      </c>
      <c r="O1689" t="s">
        <v>95</v>
      </c>
      <c r="P1689" t="str">
        <f>"4170064405                    "</f>
        <v xml:space="preserve">4170064405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102.13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2</v>
      </c>
      <c r="BI1689">
        <v>32.6</v>
      </c>
      <c r="BJ1689">
        <v>47.4</v>
      </c>
      <c r="BK1689">
        <v>48</v>
      </c>
      <c r="BL1689">
        <v>330.02</v>
      </c>
      <c r="BM1689">
        <v>49.5</v>
      </c>
      <c r="BN1689">
        <v>379.52</v>
      </c>
      <c r="BO1689">
        <v>379.52</v>
      </c>
      <c r="BQ1689" t="s">
        <v>319</v>
      </c>
      <c r="BR1689" t="s">
        <v>97</v>
      </c>
      <c r="BS1689" s="3">
        <v>45946</v>
      </c>
      <c r="BT1689" s="4">
        <v>0.36944444444444446</v>
      </c>
      <c r="BU1689" t="s">
        <v>2450</v>
      </c>
      <c r="BV1689" t="s">
        <v>86</v>
      </c>
      <c r="BY1689">
        <v>236995.98</v>
      </c>
      <c r="CA1689" t="s">
        <v>2451</v>
      </c>
      <c r="CC1689" t="s">
        <v>122</v>
      </c>
      <c r="CD1689">
        <v>4001</v>
      </c>
      <c r="CE1689" t="s">
        <v>191</v>
      </c>
      <c r="CF1689" s="3">
        <v>45946</v>
      </c>
      <c r="CI1689">
        <v>1</v>
      </c>
      <c r="CJ1689">
        <v>1</v>
      </c>
      <c r="CK1689">
        <v>41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"080068539932"</f>
        <v>080068539932</v>
      </c>
      <c r="F1690" s="3">
        <v>45945</v>
      </c>
      <c r="G1690">
        <v>202607</v>
      </c>
      <c r="H1690" t="s">
        <v>79</v>
      </c>
      <c r="I1690" t="s">
        <v>80</v>
      </c>
      <c r="J1690" t="s">
        <v>91</v>
      </c>
      <c r="K1690" t="s">
        <v>78</v>
      </c>
      <c r="L1690" t="s">
        <v>79</v>
      </c>
      <c r="M1690" t="s">
        <v>80</v>
      </c>
      <c r="N1690" t="s">
        <v>2452</v>
      </c>
      <c r="O1690" t="s">
        <v>82</v>
      </c>
      <c r="P1690" t="str">
        <f>"4170064411                    "</f>
        <v xml:space="preserve">4170064411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17.46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0.2</v>
      </c>
      <c r="BJ1690">
        <v>0.8</v>
      </c>
      <c r="BK1690">
        <v>1</v>
      </c>
      <c r="BL1690">
        <v>55.42</v>
      </c>
      <c r="BM1690">
        <v>8.31</v>
      </c>
      <c r="BN1690">
        <v>63.73</v>
      </c>
      <c r="BO1690">
        <v>63.73</v>
      </c>
      <c r="BQ1690" t="s">
        <v>2453</v>
      </c>
      <c r="BR1690" t="s">
        <v>97</v>
      </c>
      <c r="BS1690" s="3">
        <v>45946</v>
      </c>
      <c r="BT1690" s="4">
        <v>0.42638888888888887</v>
      </c>
      <c r="BU1690" t="s">
        <v>2454</v>
      </c>
      <c r="BV1690" t="s">
        <v>86</v>
      </c>
      <c r="BY1690">
        <v>3878.07</v>
      </c>
      <c r="CA1690" t="s">
        <v>360</v>
      </c>
      <c r="CC1690" t="s">
        <v>80</v>
      </c>
      <c r="CD1690">
        <v>1645</v>
      </c>
      <c r="CE1690" t="s">
        <v>147</v>
      </c>
      <c r="CF1690" s="3">
        <v>45946</v>
      </c>
      <c r="CI1690">
        <v>1</v>
      </c>
      <c r="CJ1690">
        <v>1</v>
      </c>
      <c r="CK1690">
        <v>22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"080068539973"</f>
        <v>080068539973</v>
      </c>
      <c r="F1691" s="3">
        <v>45945</v>
      </c>
      <c r="G1691">
        <v>202607</v>
      </c>
      <c r="H1691" t="s">
        <v>79</v>
      </c>
      <c r="I1691" t="s">
        <v>80</v>
      </c>
      <c r="J1691" t="s">
        <v>91</v>
      </c>
      <c r="K1691" t="s">
        <v>78</v>
      </c>
      <c r="L1691" t="s">
        <v>206</v>
      </c>
      <c r="M1691" t="s">
        <v>207</v>
      </c>
      <c r="N1691" t="s">
        <v>427</v>
      </c>
      <c r="O1691" t="s">
        <v>82</v>
      </c>
      <c r="P1691" t="str">
        <f>"4170064471                    "</f>
        <v xml:space="preserve">4170064471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22.36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70.959999999999994</v>
      </c>
      <c r="BM1691">
        <v>10.64</v>
      </c>
      <c r="BN1691">
        <v>81.599999999999994</v>
      </c>
      <c r="BO1691">
        <v>81.599999999999994</v>
      </c>
      <c r="BQ1691" t="s">
        <v>428</v>
      </c>
      <c r="BR1691" t="s">
        <v>97</v>
      </c>
      <c r="BS1691" s="3">
        <v>45946</v>
      </c>
      <c r="BT1691" s="4">
        <v>0.30208333333333331</v>
      </c>
      <c r="BU1691" t="s">
        <v>429</v>
      </c>
      <c r="BV1691" t="s">
        <v>86</v>
      </c>
      <c r="BY1691">
        <v>1200</v>
      </c>
      <c r="CA1691" t="s">
        <v>423</v>
      </c>
      <c r="CC1691" t="s">
        <v>207</v>
      </c>
      <c r="CD1691">
        <v>7530</v>
      </c>
      <c r="CE1691" t="s">
        <v>147</v>
      </c>
      <c r="CF1691" s="3">
        <v>45947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"080068539978"</f>
        <v>080068539978</v>
      </c>
      <c r="F1692" s="3">
        <v>45945</v>
      </c>
      <c r="G1692">
        <v>202607</v>
      </c>
      <c r="H1692" t="s">
        <v>79</v>
      </c>
      <c r="I1692" t="s">
        <v>80</v>
      </c>
      <c r="J1692" t="s">
        <v>91</v>
      </c>
      <c r="K1692" t="s">
        <v>78</v>
      </c>
      <c r="L1692" t="s">
        <v>79</v>
      </c>
      <c r="M1692" t="s">
        <v>80</v>
      </c>
      <c r="N1692" t="s">
        <v>2309</v>
      </c>
      <c r="O1692" t="s">
        <v>226</v>
      </c>
      <c r="P1692" t="str">
        <f>"4170064423                    "</f>
        <v xml:space="preserve">4170064423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19.43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3.5</v>
      </c>
      <c r="BJ1692">
        <v>8.1999999999999993</v>
      </c>
      <c r="BK1692">
        <v>9</v>
      </c>
      <c r="BL1692">
        <v>61.66</v>
      </c>
      <c r="BM1692">
        <v>9.25</v>
      </c>
      <c r="BN1692">
        <v>70.91</v>
      </c>
      <c r="BO1692">
        <v>70.91</v>
      </c>
      <c r="BQ1692" t="s">
        <v>2310</v>
      </c>
      <c r="BR1692" t="s">
        <v>97</v>
      </c>
      <c r="BS1692" s="3">
        <v>45946</v>
      </c>
      <c r="BT1692" s="4">
        <v>0.34513888888888888</v>
      </c>
      <c r="BU1692" t="s">
        <v>2455</v>
      </c>
      <c r="BV1692" t="s">
        <v>86</v>
      </c>
      <c r="BY1692">
        <v>40946.660000000003</v>
      </c>
      <c r="CA1692" t="s">
        <v>88</v>
      </c>
      <c r="CC1692" t="s">
        <v>80</v>
      </c>
      <c r="CD1692">
        <v>1600</v>
      </c>
      <c r="CE1692" t="s">
        <v>191</v>
      </c>
      <c r="CF1692" s="3">
        <v>45946</v>
      </c>
      <c r="CI1692">
        <v>1</v>
      </c>
      <c r="CJ1692">
        <v>1</v>
      </c>
      <c r="CK1692">
        <v>32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"080068540007"</f>
        <v>080068540007</v>
      </c>
      <c r="F1693" s="3">
        <v>45945</v>
      </c>
      <c r="G1693">
        <v>202607</v>
      </c>
      <c r="H1693" t="s">
        <v>79</v>
      </c>
      <c r="I1693" t="s">
        <v>80</v>
      </c>
      <c r="J1693" t="s">
        <v>91</v>
      </c>
      <c r="K1693" t="s">
        <v>78</v>
      </c>
      <c r="L1693" t="s">
        <v>605</v>
      </c>
      <c r="M1693" t="s">
        <v>606</v>
      </c>
      <c r="N1693" t="s">
        <v>607</v>
      </c>
      <c r="O1693" t="s">
        <v>82</v>
      </c>
      <c r="P1693" t="str">
        <f>"4170064382                    "</f>
        <v xml:space="preserve">4170064382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43.31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0.2</v>
      </c>
      <c r="BJ1693">
        <v>0.6</v>
      </c>
      <c r="BK1693">
        <v>1</v>
      </c>
      <c r="BL1693">
        <v>137.47</v>
      </c>
      <c r="BM1693">
        <v>20.62</v>
      </c>
      <c r="BN1693">
        <v>158.09</v>
      </c>
      <c r="BO1693">
        <v>158.09</v>
      </c>
      <c r="BQ1693" t="s">
        <v>608</v>
      </c>
      <c r="BR1693" t="s">
        <v>97</v>
      </c>
      <c r="BS1693" s="3">
        <v>45946</v>
      </c>
      <c r="BT1693" s="4">
        <v>0.33402777777777776</v>
      </c>
      <c r="BU1693" t="s">
        <v>609</v>
      </c>
      <c r="BV1693" t="s">
        <v>86</v>
      </c>
      <c r="BY1693">
        <v>3162.88</v>
      </c>
      <c r="CA1693" t="s">
        <v>1143</v>
      </c>
      <c r="CC1693" t="s">
        <v>606</v>
      </c>
      <c r="CD1693">
        <v>1947</v>
      </c>
      <c r="CE1693" t="s">
        <v>147</v>
      </c>
      <c r="CF1693" s="3">
        <v>45946</v>
      </c>
      <c r="CI1693">
        <v>1</v>
      </c>
      <c r="CJ1693">
        <v>1</v>
      </c>
      <c r="CK1693">
        <v>23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"080068540030"</f>
        <v>080068540030</v>
      </c>
      <c r="F1694" s="3">
        <v>45945</v>
      </c>
      <c r="G1694">
        <v>202607</v>
      </c>
      <c r="H1694" t="s">
        <v>79</v>
      </c>
      <c r="I1694" t="s">
        <v>80</v>
      </c>
      <c r="J1694" t="s">
        <v>91</v>
      </c>
      <c r="K1694" t="s">
        <v>78</v>
      </c>
      <c r="L1694" t="s">
        <v>168</v>
      </c>
      <c r="M1694" t="s">
        <v>169</v>
      </c>
      <c r="N1694" t="s">
        <v>2335</v>
      </c>
      <c r="O1694" t="s">
        <v>95</v>
      </c>
      <c r="P1694" t="str">
        <f>"4170064429                    "</f>
        <v xml:space="preserve">4170064429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43.23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8.4</v>
      </c>
      <c r="BJ1694">
        <v>8.1</v>
      </c>
      <c r="BK1694">
        <v>9</v>
      </c>
      <c r="BL1694">
        <v>143.08000000000001</v>
      </c>
      <c r="BM1694">
        <v>21.46</v>
      </c>
      <c r="BN1694">
        <v>164.54</v>
      </c>
      <c r="BO1694">
        <v>164.54</v>
      </c>
      <c r="BQ1694" t="s">
        <v>2336</v>
      </c>
      <c r="BR1694" t="s">
        <v>97</v>
      </c>
      <c r="BS1694" s="3">
        <v>45946</v>
      </c>
      <c r="BT1694" s="4">
        <v>0.45208333333333334</v>
      </c>
      <c r="BU1694" t="s">
        <v>2456</v>
      </c>
      <c r="BV1694" t="s">
        <v>86</v>
      </c>
      <c r="BY1694">
        <v>40413.24</v>
      </c>
      <c r="CC1694" t="s">
        <v>169</v>
      </c>
      <c r="CD1694" s="5" t="s">
        <v>1061</v>
      </c>
      <c r="CE1694" t="s">
        <v>191</v>
      </c>
      <c r="CF1694" s="3">
        <v>45946</v>
      </c>
      <c r="CI1694">
        <v>1</v>
      </c>
      <c r="CJ1694">
        <v>1</v>
      </c>
      <c r="CK1694">
        <v>41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"080068540064"</f>
        <v>080068540064</v>
      </c>
      <c r="F1695" s="3">
        <v>45945</v>
      </c>
      <c r="G1695">
        <v>202607</v>
      </c>
      <c r="H1695" t="s">
        <v>79</v>
      </c>
      <c r="I1695" t="s">
        <v>80</v>
      </c>
      <c r="J1695" t="s">
        <v>91</v>
      </c>
      <c r="K1695" t="s">
        <v>78</v>
      </c>
      <c r="L1695" t="s">
        <v>218</v>
      </c>
      <c r="M1695" t="s">
        <v>219</v>
      </c>
      <c r="N1695" t="s">
        <v>443</v>
      </c>
      <c r="O1695" t="s">
        <v>82</v>
      </c>
      <c r="P1695" t="str">
        <f>"4170064465                    "</f>
        <v xml:space="preserve">4170064465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17.46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0.2</v>
      </c>
      <c r="BJ1695">
        <v>1</v>
      </c>
      <c r="BK1695">
        <v>1</v>
      </c>
      <c r="BL1695">
        <v>55.42</v>
      </c>
      <c r="BM1695">
        <v>8.31</v>
      </c>
      <c r="BN1695">
        <v>63.73</v>
      </c>
      <c r="BO1695">
        <v>63.73</v>
      </c>
      <c r="BQ1695" t="s">
        <v>444</v>
      </c>
      <c r="BR1695" t="s">
        <v>97</v>
      </c>
      <c r="BS1695" s="3">
        <v>45946</v>
      </c>
      <c r="BT1695" s="4">
        <v>0.4152777777777778</v>
      </c>
      <c r="BU1695" t="s">
        <v>2446</v>
      </c>
      <c r="BV1695" t="s">
        <v>86</v>
      </c>
      <c r="BY1695">
        <v>4902.9799999999996</v>
      </c>
      <c r="CA1695" t="s">
        <v>1434</v>
      </c>
      <c r="CC1695" t="s">
        <v>219</v>
      </c>
      <c r="CD1695">
        <v>1559</v>
      </c>
      <c r="CE1695" t="s">
        <v>147</v>
      </c>
      <c r="CF1695" s="3">
        <v>45946</v>
      </c>
      <c r="CI1695">
        <v>1</v>
      </c>
      <c r="CJ1695">
        <v>1</v>
      </c>
      <c r="CK1695">
        <v>22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"080068540075"</f>
        <v>080068540075</v>
      </c>
      <c r="F1696" s="3">
        <v>45945</v>
      </c>
      <c r="G1696">
        <v>202607</v>
      </c>
      <c r="H1696" t="s">
        <v>79</v>
      </c>
      <c r="I1696" t="s">
        <v>80</v>
      </c>
      <c r="J1696" t="s">
        <v>91</v>
      </c>
      <c r="K1696" t="s">
        <v>78</v>
      </c>
      <c r="L1696" t="s">
        <v>959</v>
      </c>
      <c r="M1696" t="s">
        <v>960</v>
      </c>
      <c r="N1696" t="s">
        <v>961</v>
      </c>
      <c r="O1696" t="s">
        <v>82</v>
      </c>
      <c r="P1696" t="str">
        <f>"4170064402                    "</f>
        <v xml:space="preserve">4170064402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43.31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1.8</v>
      </c>
      <c r="BJ1696">
        <v>0.8</v>
      </c>
      <c r="BK1696">
        <v>2</v>
      </c>
      <c r="BL1696">
        <v>137.47</v>
      </c>
      <c r="BM1696">
        <v>20.62</v>
      </c>
      <c r="BN1696">
        <v>158.09</v>
      </c>
      <c r="BO1696">
        <v>158.09</v>
      </c>
      <c r="BQ1696" t="s">
        <v>962</v>
      </c>
      <c r="BR1696" t="s">
        <v>97</v>
      </c>
      <c r="BS1696" s="3">
        <v>45946</v>
      </c>
      <c r="BT1696" s="4">
        <v>0.53611111111111109</v>
      </c>
      <c r="BU1696" t="s">
        <v>304</v>
      </c>
      <c r="BV1696" t="s">
        <v>86</v>
      </c>
      <c r="BY1696">
        <v>3945.89</v>
      </c>
      <c r="CA1696" t="s">
        <v>1125</v>
      </c>
      <c r="CC1696" t="s">
        <v>960</v>
      </c>
      <c r="CD1696">
        <v>6300</v>
      </c>
      <c r="CE1696" t="s">
        <v>191</v>
      </c>
      <c r="CF1696" s="3">
        <v>45946</v>
      </c>
      <c r="CI1696">
        <v>2</v>
      </c>
      <c r="CJ1696">
        <v>1</v>
      </c>
      <c r="CK1696">
        <v>23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"080068540131"</f>
        <v>080068540131</v>
      </c>
      <c r="F1697" s="3">
        <v>45945</v>
      </c>
      <c r="G1697">
        <v>202607</v>
      </c>
      <c r="H1697" t="s">
        <v>79</v>
      </c>
      <c r="I1697" t="s">
        <v>80</v>
      </c>
      <c r="J1697" t="s">
        <v>91</v>
      </c>
      <c r="K1697" t="s">
        <v>78</v>
      </c>
      <c r="L1697" t="s">
        <v>218</v>
      </c>
      <c r="M1697" t="s">
        <v>219</v>
      </c>
      <c r="N1697" t="s">
        <v>443</v>
      </c>
      <c r="O1697" t="s">
        <v>82</v>
      </c>
      <c r="P1697" t="str">
        <f>"4170064466                    "</f>
        <v xml:space="preserve">4170064466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23.74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0.2</v>
      </c>
      <c r="BJ1697">
        <v>10.6</v>
      </c>
      <c r="BK1697">
        <v>11</v>
      </c>
      <c r="BL1697">
        <v>75.349999999999994</v>
      </c>
      <c r="BM1697">
        <v>11.3</v>
      </c>
      <c r="BN1697">
        <v>86.65</v>
      </c>
      <c r="BO1697">
        <v>86.65</v>
      </c>
      <c r="BQ1697" t="s">
        <v>444</v>
      </c>
      <c r="BR1697" t="s">
        <v>97</v>
      </c>
      <c r="BS1697" s="3">
        <v>45946</v>
      </c>
      <c r="BT1697" s="4">
        <v>0.4152777777777778</v>
      </c>
      <c r="BU1697" t="s">
        <v>2446</v>
      </c>
      <c r="BV1697" t="s">
        <v>86</v>
      </c>
      <c r="BY1697">
        <v>53054.33</v>
      </c>
      <c r="CA1697" t="s">
        <v>1434</v>
      </c>
      <c r="CC1697" t="s">
        <v>219</v>
      </c>
      <c r="CD1697">
        <v>1559</v>
      </c>
      <c r="CE1697" t="s">
        <v>147</v>
      </c>
      <c r="CF1697" s="3">
        <v>45946</v>
      </c>
      <c r="CI1697">
        <v>1</v>
      </c>
      <c r="CJ1697">
        <v>1</v>
      </c>
      <c r="CK1697">
        <v>22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"080068540174"</f>
        <v>080068540174</v>
      </c>
      <c r="F1698" s="3">
        <v>45945</v>
      </c>
      <c r="G1698">
        <v>202607</v>
      </c>
      <c r="H1698" t="s">
        <v>79</v>
      </c>
      <c r="I1698" t="s">
        <v>80</v>
      </c>
      <c r="J1698" t="s">
        <v>91</v>
      </c>
      <c r="K1698" t="s">
        <v>78</v>
      </c>
      <c r="L1698" t="s">
        <v>218</v>
      </c>
      <c r="M1698" t="s">
        <v>219</v>
      </c>
      <c r="N1698" t="s">
        <v>443</v>
      </c>
      <c r="O1698" t="s">
        <v>82</v>
      </c>
      <c r="P1698" t="str">
        <f>"4170064464                    "</f>
        <v xml:space="preserve">4170064464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17.46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55.42</v>
      </c>
      <c r="BM1698">
        <v>8.31</v>
      </c>
      <c r="BN1698">
        <v>63.73</v>
      </c>
      <c r="BO1698">
        <v>63.73</v>
      </c>
      <c r="BQ1698" t="s">
        <v>444</v>
      </c>
      <c r="BR1698" t="s">
        <v>97</v>
      </c>
      <c r="BS1698" s="3">
        <v>45946</v>
      </c>
      <c r="BT1698" s="4">
        <v>0.4152777777777778</v>
      </c>
      <c r="BU1698" t="s">
        <v>2446</v>
      </c>
      <c r="BV1698" t="s">
        <v>86</v>
      </c>
      <c r="BY1698">
        <v>1200</v>
      </c>
      <c r="CA1698" t="s">
        <v>1434</v>
      </c>
      <c r="CC1698" t="s">
        <v>219</v>
      </c>
      <c r="CD1698">
        <v>1559</v>
      </c>
      <c r="CE1698" t="s">
        <v>147</v>
      </c>
      <c r="CF1698" s="3">
        <v>45946</v>
      </c>
      <c r="CI1698">
        <v>1</v>
      </c>
      <c r="CJ1698">
        <v>1</v>
      </c>
      <c r="CK1698">
        <v>22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"080068540226"</f>
        <v>080068540226</v>
      </c>
      <c r="F1699" s="3">
        <v>45945</v>
      </c>
      <c r="G1699">
        <v>202607</v>
      </c>
      <c r="H1699" t="s">
        <v>79</v>
      </c>
      <c r="I1699" t="s">
        <v>80</v>
      </c>
      <c r="J1699" t="s">
        <v>91</v>
      </c>
      <c r="K1699" t="s">
        <v>78</v>
      </c>
      <c r="L1699" t="s">
        <v>306</v>
      </c>
      <c r="M1699" t="s">
        <v>307</v>
      </c>
      <c r="N1699" t="s">
        <v>335</v>
      </c>
      <c r="O1699" t="s">
        <v>82</v>
      </c>
      <c r="P1699" t="str">
        <f>"4170064437                    "</f>
        <v xml:space="preserve">4170064437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22.36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70.959999999999994</v>
      </c>
      <c r="BM1699">
        <v>10.64</v>
      </c>
      <c r="BN1699">
        <v>81.599999999999994</v>
      </c>
      <c r="BO1699">
        <v>81.599999999999994</v>
      </c>
      <c r="BQ1699" t="s">
        <v>475</v>
      </c>
      <c r="BR1699" t="s">
        <v>97</v>
      </c>
      <c r="BS1699" s="3">
        <v>45946</v>
      </c>
      <c r="BT1699" s="4">
        <v>0.52222222222222225</v>
      </c>
      <c r="BU1699" t="s">
        <v>1436</v>
      </c>
      <c r="BV1699" t="s">
        <v>90</v>
      </c>
      <c r="BW1699" t="s">
        <v>136</v>
      </c>
      <c r="BX1699" t="s">
        <v>787</v>
      </c>
      <c r="BY1699">
        <v>1200</v>
      </c>
      <c r="CC1699" t="s">
        <v>307</v>
      </c>
      <c r="CD1699">
        <v>4133</v>
      </c>
      <c r="CE1699" t="s">
        <v>147</v>
      </c>
      <c r="CF1699" s="3">
        <v>45946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"080068540323"</f>
        <v>080068540323</v>
      </c>
      <c r="F1700" s="3">
        <v>45945</v>
      </c>
      <c r="G1700">
        <v>202607</v>
      </c>
      <c r="H1700" t="s">
        <v>79</v>
      </c>
      <c r="I1700" t="s">
        <v>80</v>
      </c>
      <c r="J1700" t="s">
        <v>91</v>
      </c>
      <c r="K1700" t="s">
        <v>78</v>
      </c>
      <c r="L1700" t="s">
        <v>79</v>
      </c>
      <c r="M1700" t="s">
        <v>80</v>
      </c>
      <c r="N1700" t="s">
        <v>2309</v>
      </c>
      <c r="O1700" t="s">
        <v>226</v>
      </c>
      <c r="P1700" t="str">
        <f>"4170064422                    "</f>
        <v xml:space="preserve">4170064422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17.47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3.5</v>
      </c>
      <c r="BJ1700">
        <v>8</v>
      </c>
      <c r="BK1700">
        <v>8</v>
      </c>
      <c r="BL1700">
        <v>55.44</v>
      </c>
      <c r="BM1700">
        <v>8.32</v>
      </c>
      <c r="BN1700">
        <v>63.76</v>
      </c>
      <c r="BO1700">
        <v>63.76</v>
      </c>
      <c r="BQ1700" t="s">
        <v>2310</v>
      </c>
      <c r="BR1700" t="s">
        <v>97</v>
      </c>
      <c r="BS1700" s="3">
        <v>45946</v>
      </c>
      <c r="BT1700" s="4">
        <v>0.34513888888888888</v>
      </c>
      <c r="BU1700" t="s">
        <v>2455</v>
      </c>
      <c r="BV1700" t="s">
        <v>86</v>
      </c>
      <c r="BY1700">
        <v>40158.69</v>
      </c>
      <c r="CA1700" t="s">
        <v>88</v>
      </c>
      <c r="CC1700" t="s">
        <v>80</v>
      </c>
      <c r="CD1700">
        <v>1600</v>
      </c>
      <c r="CE1700" t="s">
        <v>191</v>
      </c>
      <c r="CF1700" s="3">
        <v>45946</v>
      </c>
      <c r="CI1700">
        <v>1</v>
      </c>
      <c r="CJ1700">
        <v>1</v>
      </c>
      <c r="CK1700">
        <v>32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"080068540604"</f>
        <v>080068540604</v>
      </c>
      <c r="F1701" s="3">
        <v>45945</v>
      </c>
      <c r="G1701">
        <v>202607</v>
      </c>
      <c r="H1701" t="s">
        <v>79</v>
      </c>
      <c r="I1701" t="s">
        <v>80</v>
      </c>
      <c r="J1701" t="s">
        <v>91</v>
      </c>
      <c r="K1701" t="s">
        <v>78</v>
      </c>
      <c r="L1701" t="s">
        <v>79</v>
      </c>
      <c r="M1701" t="s">
        <v>80</v>
      </c>
      <c r="N1701" t="s">
        <v>2457</v>
      </c>
      <c r="O1701" t="s">
        <v>82</v>
      </c>
      <c r="P1701" t="str">
        <f>"4170064398                    "</f>
        <v xml:space="preserve">4170064398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17.46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0.8</v>
      </c>
      <c r="BK1701">
        <v>1</v>
      </c>
      <c r="BL1701">
        <v>55.42</v>
      </c>
      <c r="BM1701">
        <v>8.31</v>
      </c>
      <c r="BN1701">
        <v>63.73</v>
      </c>
      <c r="BO1701">
        <v>63.73</v>
      </c>
      <c r="BQ1701" t="s">
        <v>2458</v>
      </c>
      <c r="BR1701" t="s">
        <v>97</v>
      </c>
      <c r="BS1701" s="3">
        <v>45946</v>
      </c>
      <c r="BT1701" s="4">
        <v>0.40277777777777779</v>
      </c>
      <c r="BU1701" t="s">
        <v>2459</v>
      </c>
      <c r="BV1701" t="s">
        <v>86</v>
      </c>
      <c r="BY1701">
        <v>4239.3599999999997</v>
      </c>
      <c r="CA1701" t="s">
        <v>580</v>
      </c>
      <c r="CC1701" t="s">
        <v>80</v>
      </c>
      <c r="CD1701">
        <v>1619</v>
      </c>
      <c r="CE1701" t="s">
        <v>107</v>
      </c>
      <c r="CF1701" s="3">
        <v>45947</v>
      </c>
      <c r="CI1701">
        <v>1</v>
      </c>
      <c r="CJ1701">
        <v>1</v>
      </c>
      <c r="CK1701">
        <v>22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"080068540656"</f>
        <v>080068540656</v>
      </c>
      <c r="F1702" s="3">
        <v>45945</v>
      </c>
      <c r="G1702">
        <v>202607</v>
      </c>
      <c r="H1702" t="s">
        <v>79</v>
      </c>
      <c r="I1702" t="s">
        <v>80</v>
      </c>
      <c r="J1702" t="s">
        <v>91</v>
      </c>
      <c r="K1702" t="s">
        <v>78</v>
      </c>
      <c r="L1702" t="s">
        <v>271</v>
      </c>
      <c r="M1702" t="s">
        <v>272</v>
      </c>
      <c r="N1702" t="s">
        <v>1489</v>
      </c>
      <c r="O1702" t="s">
        <v>82</v>
      </c>
      <c r="P1702" t="str">
        <f>"4170064393                    "</f>
        <v xml:space="preserve">4170064393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17.46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</v>
      </c>
      <c r="BJ1702">
        <v>0.9</v>
      </c>
      <c r="BK1702">
        <v>2</v>
      </c>
      <c r="BL1702">
        <v>55.42</v>
      </c>
      <c r="BM1702">
        <v>8.31</v>
      </c>
      <c r="BN1702">
        <v>63.73</v>
      </c>
      <c r="BO1702">
        <v>63.73</v>
      </c>
      <c r="BQ1702" t="s">
        <v>1490</v>
      </c>
      <c r="BR1702" t="s">
        <v>97</v>
      </c>
      <c r="BS1702" s="3">
        <v>45946</v>
      </c>
      <c r="BT1702" s="4">
        <v>0.40347222222222223</v>
      </c>
      <c r="BU1702" t="s">
        <v>2407</v>
      </c>
      <c r="BV1702" t="s">
        <v>86</v>
      </c>
      <c r="BY1702">
        <v>4275</v>
      </c>
      <c r="CA1702" t="s">
        <v>1659</v>
      </c>
      <c r="CC1702" t="s">
        <v>272</v>
      </c>
      <c r="CD1702">
        <v>1406</v>
      </c>
      <c r="CE1702" t="s">
        <v>191</v>
      </c>
      <c r="CF1702" s="3">
        <v>45946</v>
      </c>
      <c r="CI1702">
        <v>1</v>
      </c>
      <c r="CJ1702">
        <v>1</v>
      </c>
      <c r="CK1702">
        <v>22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"080068540730"</f>
        <v>080068540730</v>
      </c>
      <c r="F1703" s="3">
        <v>45945</v>
      </c>
      <c r="G1703">
        <v>202607</v>
      </c>
      <c r="H1703" t="s">
        <v>79</v>
      </c>
      <c r="I1703" t="s">
        <v>80</v>
      </c>
      <c r="J1703" t="s">
        <v>91</v>
      </c>
      <c r="K1703" t="s">
        <v>78</v>
      </c>
      <c r="L1703" t="s">
        <v>306</v>
      </c>
      <c r="M1703" t="s">
        <v>307</v>
      </c>
      <c r="N1703" t="s">
        <v>335</v>
      </c>
      <c r="O1703" t="s">
        <v>82</v>
      </c>
      <c r="P1703" t="str">
        <f>"4170064420                    "</f>
        <v xml:space="preserve">4170064420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22.36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70.959999999999994</v>
      </c>
      <c r="BM1703">
        <v>10.64</v>
      </c>
      <c r="BN1703">
        <v>81.599999999999994</v>
      </c>
      <c r="BO1703">
        <v>81.599999999999994</v>
      </c>
      <c r="BQ1703" t="s">
        <v>475</v>
      </c>
      <c r="BR1703" t="s">
        <v>97</v>
      </c>
      <c r="BS1703" s="3">
        <v>45946</v>
      </c>
      <c r="BT1703" s="4">
        <v>0.52222222222222225</v>
      </c>
      <c r="BU1703" t="s">
        <v>1436</v>
      </c>
      <c r="BV1703" t="s">
        <v>90</v>
      </c>
      <c r="BW1703" t="s">
        <v>136</v>
      </c>
      <c r="BX1703" t="s">
        <v>787</v>
      </c>
      <c r="BY1703">
        <v>1200</v>
      </c>
      <c r="CC1703" t="s">
        <v>307</v>
      </c>
      <c r="CD1703">
        <v>4133</v>
      </c>
      <c r="CE1703" t="s">
        <v>147</v>
      </c>
      <c r="CF1703" s="3">
        <v>45946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"080068540783"</f>
        <v>080068540783</v>
      </c>
      <c r="F1704" s="3">
        <v>45945</v>
      </c>
      <c r="G1704">
        <v>202607</v>
      </c>
      <c r="H1704" t="s">
        <v>79</v>
      </c>
      <c r="I1704" t="s">
        <v>80</v>
      </c>
      <c r="J1704" t="s">
        <v>91</v>
      </c>
      <c r="K1704" t="s">
        <v>78</v>
      </c>
      <c r="L1704" t="s">
        <v>322</v>
      </c>
      <c r="M1704" t="s">
        <v>322</v>
      </c>
      <c r="N1704" t="s">
        <v>483</v>
      </c>
      <c r="O1704" t="s">
        <v>82</v>
      </c>
      <c r="P1704" t="str">
        <f>"4170064400                    "</f>
        <v xml:space="preserve">4170064400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43.31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137.47</v>
      </c>
      <c r="BM1704">
        <v>20.62</v>
      </c>
      <c r="BN1704">
        <v>158.09</v>
      </c>
      <c r="BO1704">
        <v>158.09</v>
      </c>
      <c r="BQ1704" t="s">
        <v>486</v>
      </c>
      <c r="BR1704" t="s">
        <v>97</v>
      </c>
      <c r="BS1704" s="3">
        <v>45946</v>
      </c>
      <c r="BT1704" s="4">
        <v>0.49305555555555558</v>
      </c>
      <c r="BU1704" t="s">
        <v>485</v>
      </c>
      <c r="BV1704" t="s">
        <v>86</v>
      </c>
      <c r="BY1704">
        <v>1200</v>
      </c>
      <c r="CA1704" t="s">
        <v>326</v>
      </c>
      <c r="CC1704" t="s">
        <v>322</v>
      </c>
      <c r="CD1704">
        <v>7646</v>
      </c>
      <c r="CE1704" t="s">
        <v>147</v>
      </c>
      <c r="CF1704" s="3">
        <v>45947</v>
      </c>
      <c r="CI1704">
        <v>1</v>
      </c>
      <c r="CJ1704">
        <v>1</v>
      </c>
      <c r="CK1704">
        <v>23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"080068540882"</f>
        <v>080068540882</v>
      </c>
      <c r="F1705" s="3">
        <v>45945</v>
      </c>
      <c r="G1705">
        <v>202607</v>
      </c>
      <c r="H1705" t="s">
        <v>79</v>
      </c>
      <c r="I1705" t="s">
        <v>80</v>
      </c>
      <c r="J1705" t="s">
        <v>91</v>
      </c>
      <c r="K1705" t="s">
        <v>78</v>
      </c>
      <c r="L1705" t="s">
        <v>206</v>
      </c>
      <c r="M1705" t="s">
        <v>207</v>
      </c>
      <c r="N1705" t="s">
        <v>656</v>
      </c>
      <c r="O1705" t="s">
        <v>82</v>
      </c>
      <c r="P1705" t="str">
        <f>"4170064408                    "</f>
        <v xml:space="preserve">4170064408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22.36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70.959999999999994</v>
      </c>
      <c r="BM1705">
        <v>10.64</v>
      </c>
      <c r="BN1705">
        <v>81.599999999999994</v>
      </c>
      <c r="BO1705">
        <v>81.599999999999994</v>
      </c>
      <c r="BQ1705" t="s">
        <v>657</v>
      </c>
      <c r="BR1705" t="s">
        <v>97</v>
      </c>
      <c r="BS1705" s="3">
        <v>45946</v>
      </c>
      <c r="BT1705" s="4">
        <v>0.40833333333333333</v>
      </c>
      <c r="BU1705" t="s">
        <v>1442</v>
      </c>
      <c r="BV1705" t="s">
        <v>86</v>
      </c>
      <c r="BY1705">
        <v>1200</v>
      </c>
      <c r="CA1705" t="s">
        <v>770</v>
      </c>
      <c r="CC1705" t="s">
        <v>207</v>
      </c>
      <c r="CD1705">
        <v>7441</v>
      </c>
      <c r="CE1705" t="s">
        <v>147</v>
      </c>
      <c r="CF1705" s="3">
        <v>45947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"080068541545"</f>
        <v>080068541545</v>
      </c>
      <c r="F1706" s="3">
        <v>45945</v>
      </c>
      <c r="G1706">
        <v>202607</v>
      </c>
      <c r="H1706" t="s">
        <v>79</v>
      </c>
      <c r="I1706" t="s">
        <v>80</v>
      </c>
      <c r="J1706" t="s">
        <v>91</v>
      </c>
      <c r="K1706" t="s">
        <v>78</v>
      </c>
      <c r="L1706" t="s">
        <v>333</v>
      </c>
      <c r="M1706" t="s">
        <v>334</v>
      </c>
      <c r="N1706" t="s">
        <v>512</v>
      </c>
      <c r="O1706" t="s">
        <v>82</v>
      </c>
      <c r="P1706" t="str">
        <f>"4170064493                    "</f>
        <v xml:space="preserve">4170064493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212.23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18.8</v>
      </c>
      <c r="BJ1706">
        <v>11.5</v>
      </c>
      <c r="BK1706">
        <v>19</v>
      </c>
      <c r="BL1706">
        <v>673.59</v>
      </c>
      <c r="BM1706">
        <v>101.04</v>
      </c>
      <c r="BN1706">
        <v>774.63</v>
      </c>
      <c r="BO1706">
        <v>774.63</v>
      </c>
      <c r="BQ1706" t="s">
        <v>513</v>
      </c>
      <c r="BR1706" t="s">
        <v>97</v>
      </c>
      <c r="BS1706" s="3">
        <v>45946</v>
      </c>
      <c r="BT1706" s="4">
        <v>0.43402777777777779</v>
      </c>
      <c r="BU1706" t="s">
        <v>2460</v>
      </c>
      <c r="BV1706" t="s">
        <v>86</v>
      </c>
      <c r="BY1706">
        <v>57631.199999999997</v>
      </c>
      <c r="CA1706" t="s">
        <v>142</v>
      </c>
      <c r="CC1706" t="s">
        <v>334</v>
      </c>
      <c r="CD1706">
        <v>6220</v>
      </c>
      <c r="CE1706" t="s">
        <v>191</v>
      </c>
      <c r="CF1706" s="3">
        <v>45946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"080068541600"</f>
        <v>080068541600</v>
      </c>
      <c r="F1707" s="3">
        <v>45945</v>
      </c>
      <c r="G1707">
        <v>202607</v>
      </c>
      <c r="H1707" t="s">
        <v>79</v>
      </c>
      <c r="I1707" t="s">
        <v>80</v>
      </c>
      <c r="J1707" t="s">
        <v>91</v>
      </c>
      <c r="K1707" t="s">
        <v>78</v>
      </c>
      <c r="L1707" t="s">
        <v>218</v>
      </c>
      <c r="M1707" t="s">
        <v>219</v>
      </c>
      <c r="N1707" t="s">
        <v>443</v>
      </c>
      <c r="O1707" t="s">
        <v>82</v>
      </c>
      <c r="P1707" t="str">
        <f>"4170064468                    "</f>
        <v xml:space="preserve">4170064468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17.46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55.42</v>
      </c>
      <c r="BM1707">
        <v>8.31</v>
      </c>
      <c r="BN1707">
        <v>63.73</v>
      </c>
      <c r="BO1707">
        <v>63.73</v>
      </c>
      <c r="BQ1707" t="s">
        <v>444</v>
      </c>
      <c r="BR1707" t="s">
        <v>97</v>
      </c>
      <c r="BS1707" s="3">
        <v>45946</v>
      </c>
      <c r="BT1707" s="4">
        <v>0.4152777777777778</v>
      </c>
      <c r="BU1707" t="s">
        <v>2446</v>
      </c>
      <c r="BV1707" t="s">
        <v>86</v>
      </c>
      <c r="BY1707">
        <v>1200</v>
      </c>
      <c r="CA1707" t="s">
        <v>1434</v>
      </c>
      <c r="CC1707" t="s">
        <v>219</v>
      </c>
      <c r="CD1707">
        <v>1559</v>
      </c>
      <c r="CE1707" t="s">
        <v>147</v>
      </c>
      <c r="CF1707" s="3">
        <v>45946</v>
      </c>
      <c r="CI1707">
        <v>1</v>
      </c>
      <c r="CJ1707">
        <v>1</v>
      </c>
      <c r="CK1707">
        <v>22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"080068541633"</f>
        <v>080068541633</v>
      </c>
      <c r="F1708" s="3">
        <v>45945</v>
      </c>
      <c r="G1708">
        <v>202607</v>
      </c>
      <c r="H1708" t="s">
        <v>79</v>
      </c>
      <c r="I1708" t="s">
        <v>80</v>
      </c>
      <c r="J1708" t="s">
        <v>91</v>
      </c>
      <c r="K1708" t="s">
        <v>78</v>
      </c>
      <c r="L1708" t="s">
        <v>206</v>
      </c>
      <c r="M1708" t="s">
        <v>207</v>
      </c>
      <c r="N1708" t="s">
        <v>1200</v>
      </c>
      <c r="O1708" t="s">
        <v>82</v>
      </c>
      <c r="P1708" t="str">
        <f>"4170064472                    "</f>
        <v xml:space="preserve">4170064472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22.36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70.959999999999994</v>
      </c>
      <c r="BM1708">
        <v>10.64</v>
      </c>
      <c r="BN1708">
        <v>81.599999999999994</v>
      </c>
      <c r="BO1708">
        <v>81.599999999999994</v>
      </c>
      <c r="BQ1708" t="s">
        <v>1201</v>
      </c>
      <c r="BR1708" t="s">
        <v>97</v>
      </c>
      <c r="BS1708" s="3">
        <v>45946</v>
      </c>
      <c r="BT1708" s="4">
        <v>0.38472222222222224</v>
      </c>
      <c r="BU1708" t="s">
        <v>2119</v>
      </c>
      <c r="BV1708" t="s">
        <v>86</v>
      </c>
      <c r="BY1708">
        <v>1200</v>
      </c>
      <c r="CA1708" t="s">
        <v>770</v>
      </c>
      <c r="CC1708" t="s">
        <v>207</v>
      </c>
      <c r="CD1708">
        <v>8001</v>
      </c>
      <c r="CE1708" t="s">
        <v>147</v>
      </c>
      <c r="CF1708" s="3">
        <v>45947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"080068541686"</f>
        <v>080068541686</v>
      </c>
      <c r="F1709" s="3">
        <v>45945</v>
      </c>
      <c r="G1709">
        <v>202607</v>
      </c>
      <c r="H1709" t="s">
        <v>79</v>
      </c>
      <c r="I1709" t="s">
        <v>80</v>
      </c>
      <c r="J1709" t="s">
        <v>91</v>
      </c>
      <c r="K1709" t="s">
        <v>78</v>
      </c>
      <c r="L1709" t="s">
        <v>233</v>
      </c>
      <c r="M1709" t="s">
        <v>234</v>
      </c>
      <c r="N1709" t="s">
        <v>908</v>
      </c>
      <c r="O1709" t="s">
        <v>82</v>
      </c>
      <c r="P1709" t="str">
        <f>"4170064461                    "</f>
        <v xml:space="preserve">4170064461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22.36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0.2</v>
      </c>
      <c r="BJ1709">
        <v>0.6</v>
      </c>
      <c r="BK1709">
        <v>1</v>
      </c>
      <c r="BL1709">
        <v>70.959999999999994</v>
      </c>
      <c r="BM1709">
        <v>10.64</v>
      </c>
      <c r="BN1709">
        <v>81.599999999999994</v>
      </c>
      <c r="BO1709">
        <v>81.599999999999994</v>
      </c>
      <c r="BQ1709" t="s">
        <v>909</v>
      </c>
      <c r="BR1709" t="s">
        <v>97</v>
      </c>
      <c r="BS1709" s="3">
        <v>45946</v>
      </c>
      <c r="BT1709" s="4">
        <v>0.28888888888888886</v>
      </c>
      <c r="BU1709" t="s">
        <v>2461</v>
      </c>
      <c r="BV1709" t="s">
        <v>86</v>
      </c>
      <c r="BY1709">
        <v>2850.48</v>
      </c>
      <c r="CA1709">
        <v>7712195338085</v>
      </c>
      <c r="CC1709" t="s">
        <v>234</v>
      </c>
      <c r="CD1709" s="5" t="s">
        <v>238</v>
      </c>
      <c r="CE1709" t="s">
        <v>147</v>
      </c>
      <c r="CF1709" s="3">
        <v>45946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"080068542674"</f>
        <v>080068542674</v>
      </c>
      <c r="F1710" s="3">
        <v>45945</v>
      </c>
      <c r="G1710">
        <v>202607</v>
      </c>
      <c r="H1710" t="s">
        <v>79</v>
      </c>
      <c r="I1710" t="s">
        <v>80</v>
      </c>
      <c r="J1710" t="s">
        <v>91</v>
      </c>
      <c r="K1710" t="s">
        <v>78</v>
      </c>
      <c r="L1710" t="s">
        <v>114</v>
      </c>
      <c r="M1710" t="s">
        <v>115</v>
      </c>
      <c r="N1710" t="s">
        <v>746</v>
      </c>
      <c r="O1710" t="s">
        <v>82</v>
      </c>
      <c r="P1710" t="str">
        <f>"4170064450                    "</f>
        <v xml:space="preserve">4170064450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150.80000000000001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8</v>
      </c>
      <c r="BJ1710">
        <v>13.1</v>
      </c>
      <c r="BK1710">
        <v>13.5</v>
      </c>
      <c r="BL1710">
        <v>478.62</v>
      </c>
      <c r="BM1710">
        <v>71.790000000000006</v>
      </c>
      <c r="BN1710">
        <v>550.41</v>
      </c>
      <c r="BO1710">
        <v>550.41</v>
      </c>
      <c r="BQ1710" t="s">
        <v>747</v>
      </c>
      <c r="BR1710" t="s">
        <v>97</v>
      </c>
      <c r="BS1710" s="3">
        <v>45946</v>
      </c>
      <c r="BT1710" s="4">
        <v>0.46527777777777779</v>
      </c>
      <c r="BU1710" t="s">
        <v>2379</v>
      </c>
      <c r="BV1710" t="s">
        <v>90</v>
      </c>
      <c r="BW1710" t="s">
        <v>188</v>
      </c>
      <c r="BX1710" t="s">
        <v>2462</v>
      </c>
      <c r="BY1710">
        <v>65340</v>
      </c>
      <c r="CA1710" t="s">
        <v>749</v>
      </c>
      <c r="CC1710" t="s">
        <v>115</v>
      </c>
      <c r="CD1710">
        <v>5200</v>
      </c>
      <c r="CE1710" t="s">
        <v>1262</v>
      </c>
      <c r="CF1710" s="3">
        <v>45947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"080068542687"</f>
        <v>080068542687</v>
      </c>
      <c r="F1711" s="3">
        <v>45945</v>
      </c>
      <c r="G1711">
        <v>202607</v>
      </c>
      <c r="H1711" t="s">
        <v>79</v>
      </c>
      <c r="I1711" t="s">
        <v>80</v>
      </c>
      <c r="J1711" t="s">
        <v>91</v>
      </c>
      <c r="K1711" t="s">
        <v>78</v>
      </c>
      <c r="L1711" t="s">
        <v>108</v>
      </c>
      <c r="M1711" t="s">
        <v>109</v>
      </c>
      <c r="N1711" t="s">
        <v>2463</v>
      </c>
      <c r="O1711" t="s">
        <v>95</v>
      </c>
      <c r="P1711" t="str">
        <f>"4170064510                    "</f>
        <v xml:space="preserve">4170064510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150.32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3</v>
      </c>
      <c r="BI1711">
        <v>75</v>
      </c>
      <c r="BJ1711">
        <v>58.5</v>
      </c>
      <c r="BK1711">
        <v>75</v>
      </c>
      <c r="BL1711">
        <v>482.97</v>
      </c>
      <c r="BM1711">
        <v>72.45</v>
      </c>
      <c r="BN1711">
        <v>555.41999999999996</v>
      </c>
      <c r="BO1711">
        <v>555.41999999999996</v>
      </c>
      <c r="BQ1711" t="s">
        <v>2464</v>
      </c>
      <c r="BR1711" t="s">
        <v>97</v>
      </c>
      <c r="BS1711" s="3">
        <v>45947</v>
      </c>
      <c r="BT1711" s="4">
        <v>0.52083333333333337</v>
      </c>
      <c r="BU1711" t="s">
        <v>2465</v>
      </c>
      <c r="BV1711" t="s">
        <v>86</v>
      </c>
      <c r="BY1711">
        <v>292575</v>
      </c>
      <c r="CA1711" t="s">
        <v>2092</v>
      </c>
      <c r="CC1711" t="s">
        <v>109</v>
      </c>
      <c r="CD1711">
        <v>6055</v>
      </c>
      <c r="CE1711" t="s">
        <v>191</v>
      </c>
      <c r="CF1711" s="3">
        <v>45947</v>
      </c>
      <c r="CI1711">
        <v>3</v>
      </c>
      <c r="CJ1711">
        <v>2</v>
      </c>
      <c r="CK1711">
        <v>41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"080068542705"</f>
        <v>080068542705</v>
      </c>
      <c r="F1712" s="3">
        <v>45945</v>
      </c>
      <c r="G1712">
        <v>202607</v>
      </c>
      <c r="H1712" t="s">
        <v>79</v>
      </c>
      <c r="I1712" t="s">
        <v>80</v>
      </c>
      <c r="J1712" t="s">
        <v>91</v>
      </c>
      <c r="K1712" t="s">
        <v>78</v>
      </c>
      <c r="L1712" t="s">
        <v>322</v>
      </c>
      <c r="M1712" t="s">
        <v>322</v>
      </c>
      <c r="N1712" t="s">
        <v>483</v>
      </c>
      <c r="O1712" t="s">
        <v>95</v>
      </c>
      <c r="P1712" t="str">
        <f>"4170064492                    "</f>
        <v xml:space="preserve">4170064492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89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9</v>
      </c>
      <c r="BJ1712">
        <v>23.7</v>
      </c>
      <c r="BK1712">
        <v>24</v>
      </c>
      <c r="BL1712">
        <v>288.35000000000002</v>
      </c>
      <c r="BM1712">
        <v>43.25</v>
      </c>
      <c r="BN1712">
        <v>331.6</v>
      </c>
      <c r="BO1712">
        <v>331.6</v>
      </c>
      <c r="BQ1712" t="s">
        <v>486</v>
      </c>
      <c r="BR1712" t="s">
        <v>97</v>
      </c>
      <c r="BS1712" s="3">
        <v>45947</v>
      </c>
      <c r="BT1712" s="4">
        <v>0.54027777777777775</v>
      </c>
      <c r="BU1712" t="s">
        <v>485</v>
      </c>
      <c r="BV1712" t="s">
        <v>86</v>
      </c>
      <c r="BY1712">
        <v>118440</v>
      </c>
      <c r="CA1712" t="s">
        <v>326</v>
      </c>
      <c r="CC1712" t="s">
        <v>322</v>
      </c>
      <c r="CD1712">
        <v>7646</v>
      </c>
      <c r="CE1712" t="s">
        <v>191</v>
      </c>
      <c r="CF1712" s="3">
        <v>45950</v>
      </c>
      <c r="CI1712">
        <v>3</v>
      </c>
      <c r="CJ1712">
        <v>2</v>
      </c>
      <c r="CK1712">
        <v>43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"080068542733"</f>
        <v>080068542733</v>
      </c>
      <c r="F1713" s="3">
        <v>45945</v>
      </c>
      <c r="G1713">
        <v>202607</v>
      </c>
      <c r="H1713" t="s">
        <v>79</v>
      </c>
      <c r="I1713" t="s">
        <v>80</v>
      </c>
      <c r="J1713" t="s">
        <v>91</v>
      </c>
      <c r="K1713" t="s">
        <v>78</v>
      </c>
      <c r="L1713" t="s">
        <v>206</v>
      </c>
      <c r="M1713" t="s">
        <v>207</v>
      </c>
      <c r="N1713" t="s">
        <v>2466</v>
      </c>
      <c r="O1713" t="s">
        <v>82</v>
      </c>
      <c r="P1713" t="str">
        <f>"4170064477                    "</f>
        <v xml:space="preserve">4170064477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39.11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3.4</v>
      </c>
      <c r="BK1713">
        <v>3.5</v>
      </c>
      <c r="BL1713">
        <v>124.13</v>
      </c>
      <c r="BM1713">
        <v>18.62</v>
      </c>
      <c r="BN1713">
        <v>142.75</v>
      </c>
      <c r="BO1713">
        <v>142.75</v>
      </c>
      <c r="BQ1713" t="s">
        <v>2467</v>
      </c>
      <c r="BR1713" t="s">
        <v>97</v>
      </c>
      <c r="BS1713" s="3">
        <v>45946</v>
      </c>
      <c r="BT1713" s="4">
        <v>0.39583333333333331</v>
      </c>
      <c r="BU1713" t="s">
        <v>2468</v>
      </c>
      <c r="BV1713" t="s">
        <v>86</v>
      </c>
      <c r="BY1713">
        <v>17160</v>
      </c>
      <c r="CA1713" t="s">
        <v>480</v>
      </c>
      <c r="CC1713" t="s">
        <v>207</v>
      </c>
      <c r="CD1713">
        <v>7475</v>
      </c>
      <c r="CE1713" t="s">
        <v>107</v>
      </c>
      <c r="CF1713" s="3">
        <v>45947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"080068542769"</f>
        <v>080068542769</v>
      </c>
      <c r="F1714" s="3">
        <v>45945</v>
      </c>
      <c r="G1714">
        <v>202607</v>
      </c>
      <c r="H1714" t="s">
        <v>79</v>
      </c>
      <c r="I1714" t="s">
        <v>80</v>
      </c>
      <c r="J1714" t="s">
        <v>91</v>
      </c>
      <c r="K1714" t="s">
        <v>78</v>
      </c>
      <c r="L1714" t="s">
        <v>79</v>
      </c>
      <c r="M1714" t="s">
        <v>80</v>
      </c>
      <c r="N1714" t="s">
        <v>1040</v>
      </c>
      <c r="O1714" t="s">
        <v>95</v>
      </c>
      <c r="P1714" t="str">
        <f>"4170064476                    "</f>
        <v xml:space="preserve">4170064476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36.28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18</v>
      </c>
      <c r="BJ1714">
        <v>7.7</v>
      </c>
      <c r="BK1714">
        <v>18</v>
      </c>
      <c r="BL1714">
        <v>121.03</v>
      </c>
      <c r="BM1714">
        <v>18.149999999999999</v>
      </c>
      <c r="BN1714">
        <v>139.18</v>
      </c>
      <c r="BO1714">
        <v>139.18</v>
      </c>
      <c r="BQ1714" t="s">
        <v>1041</v>
      </c>
      <c r="BR1714" t="s">
        <v>97</v>
      </c>
      <c r="BS1714" s="3">
        <v>45946</v>
      </c>
      <c r="BT1714" s="4">
        <v>0.32430555555555557</v>
      </c>
      <c r="BU1714" t="s">
        <v>2469</v>
      </c>
      <c r="BV1714" t="s">
        <v>86</v>
      </c>
      <c r="BY1714">
        <v>38592</v>
      </c>
      <c r="CA1714" t="s">
        <v>166</v>
      </c>
      <c r="CC1714" t="s">
        <v>80</v>
      </c>
      <c r="CD1714">
        <v>1600</v>
      </c>
      <c r="CE1714" t="s">
        <v>191</v>
      </c>
      <c r="CF1714" s="3">
        <v>45947</v>
      </c>
      <c r="CI1714">
        <v>1</v>
      </c>
      <c r="CJ1714">
        <v>1</v>
      </c>
      <c r="CK1714">
        <v>42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"080068542813"</f>
        <v>080068542813</v>
      </c>
      <c r="F1715" s="3">
        <v>45945</v>
      </c>
      <c r="G1715">
        <v>202607</v>
      </c>
      <c r="H1715" t="s">
        <v>79</v>
      </c>
      <c r="I1715" t="s">
        <v>80</v>
      </c>
      <c r="J1715" t="s">
        <v>91</v>
      </c>
      <c r="K1715" t="s">
        <v>78</v>
      </c>
      <c r="L1715" t="s">
        <v>542</v>
      </c>
      <c r="M1715" t="s">
        <v>543</v>
      </c>
      <c r="N1715" t="s">
        <v>915</v>
      </c>
      <c r="O1715" t="s">
        <v>226</v>
      </c>
      <c r="P1715" t="str">
        <f>"4170064482                    "</f>
        <v xml:space="preserve">4170064482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17.47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</v>
      </c>
      <c r="BJ1715">
        <v>6.9</v>
      </c>
      <c r="BK1715">
        <v>7</v>
      </c>
      <c r="BL1715">
        <v>55.44</v>
      </c>
      <c r="BM1715">
        <v>8.32</v>
      </c>
      <c r="BN1715">
        <v>63.76</v>
      </c>
      <c r="BO1715">
        <v>63.76</v>
      </c>
      <c r="BQ1715" t="s">
        <v>916</v>
      </c>
      <c r="BR1715" t="s">
        <v>97</v>
      </c>
      <c r="BS1715" s="3">
        <v>45946</v>
      </c>
      <c r="BT1715" s="4">
        <v>0.42152777777777778</v>
      </c>
      <c r="BU1715" t="s">
        <v>1169</v>
      </c>
      <c r="BV1715" t="s">
        <v>86</v>
      </c>
      <c r="BY1715">
        <v>34580</v>
      </c>
      <c r="CA1715" t="s">
        <v>918</v>
      </c>
      <c r="CC1715" t="s">
        <v>543</v>
      </c>
      <c r="CD1715">
        <v>1682</v>
      </c>
      <c r="CE1715" t="s">
        <v>191</v>
      </c>
      <c r="CF1715" s="3">
        <v>45947</v>
      </c>
      <c r="CI1715">
        <v>1</v>
      </c>
      <c r="CJ1715">
        <v>1</v>
      </c>
      <c r="CK1715">
        <v>32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"080068542836"</f>
        <v>080068542836</v>
      </c>
      <c r="F1716" s="3">
        <v>45945</v>
      </c>
      <c r="G1716">
        <v>202607</v>
      </c>
      <c r="H1716" t="s">
        <v>79</v>
      </c>
      <c r="I1716" t="s">
        <v>80</v>
      </c>
      <c r="J1716" t="s">
        <v>91</v>
      </c>
      <c r="K1716" t="s">
        <v>78</v>
      </c>
      <c r="L1716" t="s">
        <v>206</v>
      </c>
      <c r="M1716" t="s">
        <v>207</v>
      </c>
      <c r="N1716" t="s">
        <v>656</v>
      </c>
      <c r="O1716" t="s">
        <v>82</v>
      </c>
      <c r="P1716" t="str">
        <f>"4170064457                    "</f>
        <v xml:space="preserve">4170064457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61.45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2</v>
      </c>
      <c r="BJ1716">
        <v>5.4</v>
      </c>
      <c r="BK1716">
        <v>5.5</v>
      </c>
      <c r="BL1716">
        <v>195.03</v>
      </c>
      <c r="BM1716">
        <v>29.25</v>
      </c>
      <c r="BN1716">
        <v>224.28</v>
      </c>
      <c r="BO1716">
        <v>224.28</v>
      </c>
      <c r="BQ1716" t="s">
        <v>657</v>
      </c>
      <c r="BR1716" t="s">
        <v>97</v>
      </c>
      <c r="BS1716" s="3">
        <v>45946</v>
      </c>
      <c r="BT1716" s="4">
        <v>0.40833333333333333</v>
      </c>
      <c r="BU1716" t="s">
        <v>1442</v>
      </c>
      <c r="BV1716" t="s">
        <v>86</v>
      </c>
      <c r="BY1716">
        <v>26752</v>
      </c>
      <c r="CA1716" t="s">
        <v>770</v>
      </c>
      <c r="CC1716" t="s">
        <v>207</v>
      </c>
      <c r="CD1716">
        <v>7441</v>
      </c>
      <c r="CE1716" t="s">
        <v>107</v>
      </c>
      <c r="CF1716" s="3">
        <v>45947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"080068542857"</f>
        <v>080068542857</v>
      </c>
      <c r="F1717" s="3">
        <v>45945</v>
      </c>
      <c r="G1717">
        <v>202607</v>
      </c>
      <c r="H1717" t="s">
        <v>79</v>
      </c>
      <c r="I1717" t="s">
        <v>80</v>
      </c>
      <c r="J1717" t="s">
        <v>91</v>
      </c>
      <c r="K1717" t="s">
        <v>78</v>
      </c>
      <c r="L1717" t="s">
        <v>206</v>
      </c>
      <c r="M1717" t="s">
        <v>207</v>
      </c>
      <c r="N1717" t="s">
        <v>2470</v>
      </c>
      <c r="O1717" t="s">
        <v>82</v>
      </c>
      <c r="P1717" t="str">
        <f>"4170064448                    "</f>
        <v xml:space="preserve">4170064448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167.55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13</v>
      </c>
      <c r="BJ1717">
        <v>14.8</v>
      </c>
      <c r="BK1717">
        <v>15</v>
      </c>
      <c r="BL1717">
        <v>531.79</v>
      </c>
      <c r="BM1717">
        <v>79.77</v>
      </c>
      <c r="BN1717">
        <v>611.55999999999995</v>
      </c>
      <c r="BO1717">
        <v>611.55999999999995</v>
      </c>
      <c r="BQ1717" t="s">
        <v>2471</v>
      </c>
      <c r="BR1717" t="s">
        <v>97</v>
      </c>
      <c r="BS1717" s="3">
        <v>45946</v>
      </c>
      <c r="BT1717" s="4">
        <v>0.40694444444444444</v>
      </c>
      <c r="BU1717" t="s">
        <v>2472</v>
      </c>
      <c r="BV1717" t="s">
        <v>86</v>
      </c>
      <c r="BY1717">
        <v>73815</v>
      </c>
      <c r="CA1717" t="s">
        <v>770</v>
      </c>
      <c r="CC1717" t="s">
        <v>207</v>
      </c>
      <c r="CD1717">
        <v>7405</v>
      </c>
      <c r="CE1717" t="s">
        <v>191</v>
      </c>
      <c r="CF1717" s="3">
        <v>45947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"080068542931"</f>
        <v>080068542931</v>
      </c>
      <c r="F1718" s="3">
        <v>45945</v>
      </c>
      <c r="G1718">
        <v>202607</v>
      </c>
      <c r="H1718" t="s">
        <v>79</v>
      </c>
      <c r="I1718" t="s">
        <v>80</v>
      </c>
      <c r="J1718" t="s">
        <v>91</v>
      </c>
      <c r="K1718" t="s">
        <v>78</v>
      </c>
      <c r="L1718" t="s">
        <v>271</v>
      </c>
      <c r="M1718" t="s">
        <v>272</v>
      </c>
      <c r="N1718" t="s">
        <v>2473</v>
      </c>
      <c r="O1718" t="s">
        <v>226</v>
      </c>
      <c r="P1718" t="str">
        <f>"4170064375                    "</f>
        <v xml:space="preserve">4170064375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17.47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2</v>
      </c>
      <c r="BI1718">
        <v>7</v>
      </c>
      <c r="BJ1718">
        <v>3</v>
      </c>
      <c r="BK1718">
        <v>7</v>
      </c>
      <c r="BL1718">
        <v>55.44</v>
      </c>
      <c r="BM1718">
        <v>8.32</v>
      </c>
      <c r="BN1718">
        <v>63.76</v>
      </c>
      <c r="BO1718">
        <v>63.76</v>
      </c>
      <c r="BQ1718" t="s">
        <v>2474</v>
      </c>
      <c r="BR1718" t="s">
        <v>97</v>
      </c>
      <c r="BS1718" s="3">
        <v>45946</v>
      </c>
      <c r="BT1718" s="4">
        <v>0.4236111111111111</v>
      </c>
      <c r="BU1718" t="s">
        <v>2475</v>
      </c>
      <c r="BV1718" t="s">
        <v>86</v>
      </c>
      <c r="BY1718">
        <v>15110</v>
      </c>
      <c r="CA1718" t="s">
        <v>2476</v>
      </c>
      <c r="CC1718" t="s">
        <v>272</v>
      </c>
      <c r="CD1718">
        <v>1401</v>
      </c>
      <c r="CE1718" t="s">
        <v>191</v>
      </c>
      <c r="CF1718" s="3">
        <v>45946</v>
      </c>
      <c r="CI1718">
        <v>1</v>
      </c>
      <c r="CJ1718">
        <v>1</v>
      </c>
      <c r="CK1718">
        <v>32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"080068542935"</f>
        <v>080068542935</v>
      </c>
      <c r="F1719" s="3">
        <v>45945</v>
      </c>
      <c r="G1719">
        <v>202607</v>
      </c>
      <c r="H1719" t="s">
        <v>79</v>
      </c>
      <c r="I1719" t="s">
        <v>80</v>
      </c>
      <c r="J1719" t="s">
        <v>91</v>
      </c>
      <c r="K1719" t="s">
        <v>78</v>
      </c>
      <c r="L1719" t="s">
        <v>453</v>
      </c>
      <c r="M1719" t="s">
        <v>454</v>
      </c>
      <c r="N1719" t="s">
        <v>639</v>
      </c>
      <c r="O1719" t="s">
        <v>82</v>
      </c>
      <c r="P1719" t="str">
        <f>"4170064502                    "</f>
        <v xml:space="preserve">4170064502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22.36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70.959999999999994</v>
      </c>
      <c r="BM1719">
        <v>10.64</v>
      </c>
      <c r="BN1719">
        <v>81.599999999999994</v>
      </c>
      <c r="BO1719">
        <v>81.599999999999994</v>
      </c>
      <c r="BQ1719" t="s">
        <v>640</v>
      </c>
      <c r="BR1719" t="s">
        <v>97</v>
      </c>
      <c r="BS1719" s="3">
        <v>45946</v>
      </c>
      <c r="BT1719" s="4">
        <v>0.59305555555555556</v>
      </c>
      <c r="BU1719" t="s">
        <v>2477</v>
      </c>
      <c r="BV1719" t="s">
        <v>90</v>
      </c>
      <c r="BY1719">
        <v>1200</v>
      </c>
      <c r="CA1719" t="s">
        <v>2391</v>
      </c>
      <c r="CC1719" t="s">
        <v>454</v>
      </c>
      <c r="CD1719">
        <v>3610</v>
      </c>
      <c r="CE1719" t="s">
        <v>147</v>
      </c>
      <c r="CF1719" s="3">
        <v>45947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"080068542963"</f>
        <v>080068542963</v>
      </c>
      <c r="F1720" s="3">
        <v>45945</v>
      </c>
      <c r="G1720">
        <v>202607</v>
      </c>
      <c r="H1720" t="s">
        <v>79</v>
      </c>
      <c r="I1720" t="s">
        <v>80</v>
      </c>
      <c r="J1720" t="s">
        <v>91</v>
      </c>
      <c r="K1720" t="s">
        <v>78</v>
      </c>
      <c r="L1720" t="s">
        <v>306</v>
      </c>
      <c r="M1720" t="s">
        <v>307</v>
      </c>
      <c r="N1720" t="s">
        <v>335</v>
      </c>
      <c r="O1720" t="s">
        <v>82</v>
      </c>
      <c r="P1720" t="str">
        <f>"4170064432                    "</f>
        <v xml:space="preserve">4170064432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22.36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70.959999999999994</v>
      </c>
      <c r="BM1720">
        <v>10.64</v>
      </c>
      <c r="BN1720">
        <v>81.599999999999994</v>
      </c>
      <c r="BO1720">
        <v>81.599999999999994</v>
      </c>
      <c r="BQ1720" t="s">
        <v>475</v>
      </c>
      <c r="BR1720" t="s">
        <v>97</v>
      </c>
      <c r="BS1720" s="3">
        <v>45946</v>
      </c>
      <c r="BT1720" s="4">
        <v>0.52222222222222225</v>
      </c>
      <c r="BU1720" t="s">
        <v>2478</v>
      </c>
      <c r="BV1720" t="s">
        <v>90</v>
      </c>
      <c r="BY1720">
        <v>1200</v>
      </c>
      <c r="CC1720" t="s">
        <v>307</v>
      </c>
      <c r="CD1720">
        <v>4133</v>
      </c>
      <c r="CE1720" t="s">
        <v>147</v>
      </c>
      <c r="CF1720" s="3">
        <v>45946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"080068542967"</f>
        <v>080068542967</v>
      </c>
      <c r="F1721" s="3">
        <v>45945</v>
      </c>
      <c r="G1721">
        <v>202607</v>
      </c>
      <c r="H1721" t="s">
        <v>79</v>
      </c>
      <c r="I1721" t="s">
        <v>80</v>
      </c>
      <c r="J1721" t="s">
        <v>91</v>
      </c>
      <c r="K1721" t="s">
        <v>78</v>
      </c>
      <c r="L1721" t="s">
        <v>92</v>
      </c>
      <c r="M1721" t="s">
        <v>93</v>
      </c>
      <c r="N1721" t="s">
        <v>94</v>
      </c>
      <c r="O1721" t="s">
        <v>82</v>
      </c>
      <c r="P1721" t="str">
        <f>"4170064421                    "</f>
        <v xml:space="preserve">4170064421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39.11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3</v>
      </c>
      <c r="BJ1721">
        <v>3.3</v>
      </c>
      <c r="BK1721">
        <v>3.5</v>
      </c>
      <c r="BL1721">
        <v>124.13</v>
      </c>
      <c r="BM1721">
        <v>18.62</v>
      </c>
      <c r="BN1721">
        <v>142.75</v>
      </c>
      <c r="BO1721">
        <v>142.75</v>
      </c>
      <c r="BQ1721" t="s">
        <v>96</v>
      </c>
      <c r="BR1721" t="s">
        <v>97</v>
      </c>
      <c r="BS1721" s="3">
        <v>45946</v>
      </c>
      <c r="BT1721" s="4">
        <v>0.43402777777777779</v>
      </c>
      <c r="BU1721" t="s">
        <v>98</v>
      </c>
      <c r="BV1721" t="s">
        <v>86</v>
      </c>
      <c r="BY1721">
        <v>16464</v>
      </c>
      <c r="CA1721" t="s">
        <v>100</v>
      </c>
      <c r="CC1721" t="s">
        <v>93</v>
      </c>
      <c r="CD1721">
        <v>3201</v>
      </c>
      <c r="CE1721" t="s">
        <v>107</v>
      </c>
      <c r="CF1721" s="3">
        <v>45947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"080068542990"</f>
        <v>080068542990</v>
      </c>
      <c r="F1722" s="3">
        <v>45945</v>
      </c>
      <c r="G1722">
        <v>202607</v>
      </c>
      <c r="H1722" t="s">
        <v>79</v>
      </c>
      <c r="I1722" t="s">
        <v>80</v>
      </c>
      <c r="J1722" t="s">
        <v>91</v>
      </c>
      <c r="K1722" t="s">
        <v>78</v>
      </c>
      <c r="L1722" t="s">
        <v>148</v>
      </c>
      <c r="M1722" t="s">
        <v>149</v>
      </c>
      <c r="N1722" t="s">
        <v>465</v>
      </c>
      <c r="O1722" t="s">
        <v>82</v>
      </c>
      <c r="P1722" t="str">
        <f>"4170064503                    "</f>
        <v xml:space="preserve">4170064503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17.46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55.42</v>
      </c>
      <c r="BM1722">
        <v>8.31</v>
      </c>
      <c r="BN1722">
        <v>63.73</v>
      </c>
      <c r="BO1722">
        <v>63.73</v>
      </c>
      <c r="BQ1722" t="s">
        <v>466</v>
      </c>
      <c r="BR1722" t="s">
        <v>97</v>
      </c>
      <c r="BS1722" s="3">
        <v>45946</v>
      </c>
      <c r="BT1722" s="4">
        <v>0.36805555555555558</v>
      </c>
      <c r="BU1722" t="s">
        <v>518</v>
      </c>
      <c r="BV1722" t="s">
        <v>86</v>
      </c>
      <c r="BY1722">
        <v>1200</v>
      </c>
      <c r="CA1722" t="s">
        <v>519</v>
      </c>
      <c r="CC1722" t="s">
        <v>149</v>
      </c>
      <c r="CD1722">
        <v>2094</v>
      </c>
      <c r="CE1722" t="s">
        <v>147</v>
      </c>
      <c r="CF1722" s="3">
        <v>45946</v>
      </c>
      <c r="CI1722">
        <v>1</v>
      </c>
      <c r="CJ1722">
        <v>1</v>
      </c>
      <c r="CK1722">
        <v>22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"080068542995"</f>
        <v>080068542995</v>
      </c>
      <c r="F1723" s="3">
        <v>45945</v>
      </c>
      <c r="G1723">
        <v>202607</v>
      </c>
      <c r="H1723" t="s">
        <v>79</v>
      </c>
      <c r="I1723" t="s">
        <v>80</v>
      </c>
      <c r="J1723" t="s">
        <v>91</v>
      </c>
      <c r="K1723" t="s">
        <v>78</v>
      </c>
      <c r="L1723" t="s">
        <v>206</v>
      </c>
      <c r="M1723" t="s">
        <v>207</v>
      </c>
      <c r="N1723" t="s">
        <v>412</v>
      </c>
      <c r="O1723" t="s">
        <v>82</v>
      </c>
      <c r="P1723" t="str">
        <f>"4170064479                    "</f>
        <v xml:space="preserve">4170064479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39.11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3.1</v>
      </c>
      <c r="BK1723">
        <v>3.5</v>
      </c>
      <c r="BL1723">
        <v>124.13</v>
      </c>
      <c r="BM1723">
        <v>18.62</v>
      </c>
      <c r="BN1723">
        <v>142.75</v>
      </c>
      <c r="BO1723">
        <v>142.75</v>
      </c>
      <c r="BQ1723" t="s">
        <v>413</v>
      </c>
      <c r="BR1723" t="s">
        <v>97</v>
      </c>
      <c r="BS1723" s="3">
        <v>45946</v>
      </c>
      <c r="BT1723" s="4">
        <v>0.36249999999999999</v>
      </c>
      <c r="BU1723" t="s">
        <v>414</v>
      </c>
      <c r="BV1723" t="s">
        <v>86</v>
      </c>
      <c r="BY1723">
        <v>15360</v>
      </c>
      <c r="CA1723" t="s">
        <v>415</v>
      </c>
      <c r="CC1723" t="s">
        <v>207</v>
      </c>
      <c r="CD1723">
        <v>7493</v>
      </c>
      <c r="CE1723" t="s">
        <v>191</v>
      </c>
      <c r="CF1723" s="3">
        <v>45947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"080068543002"</f>
        <v>080068543002</v>
      </c>
      <c r="F1724" s="3">
        <v>45945</v>
      </c>
      <c r="G1724">
        <v>202607</v>
      </c>
      <c r="H1724" t="s">
        <v>79</v>
      </c>
      <c r="I1724" t="s">
        <v>80</v>
      </c>
      <c r="J1724" t="s">
        <v>91</v>
      </c>
      <c r="K1724" t="s">
        <v>78</v>
      </c>
      <c r="L1724" t="s">
        <v>453</v>
      </c>
      <c r="M1724" t="s">
        <v>454</v>
      </c>
      <c r="N1724" t="s">
        <v>639</v>
      </c>
      <c r="O1724" t="s">
        <v>82</v>
      </c>
      <c r="P1724" t="str">
        <f>"4170064501                    "</f>
        <v xml:space="preserve">4170064501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22.36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70.959999999999994</v>
      </c>
      <c r="BM1724">
        <v>10.64</v>
      </c>
      <c r="BN1724">
        <v>81.599999999999994</v>
      </c>
      <c r="BO1724">
        <v>81.599999999999994</v>
      </c>
      <c r="BQ1724" t="s">
        <v>640</v>
      </c>
      <c r="BR1724" t="s">
        <v>97</v>
      </c>
      <c r="BS1724" s="3">
        <v>45946</v>
      </c>
      <c r="BT1724" s="4">
        <v>0.59305555555555556</v>
      </c>
      <c r="BU1724" t="s">
        <v>2479</v>
      </c>
      <c r="BV1724" t="s">
        <v>90</v>
      </c>
      <c r="BY1724">
        <v>1200</v>
      </c>
      <c r="CA1724" t="s">
        <v>2391</v>
      </c>
      <c r="CC1724" t="s">
        <v>454</v>
      </c>
      <c r="CD1724">
        <v>3610</v>
      </c>
      <c r="CE1724" t="s">
        <v>147</v>
      </c>
      <c r="CF1724" s="3">
        <v>45947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"080068543010"</f>
        <v>080068543010</v>
      </c>
      <c r="F1725" s="3">
        <v>45945</v>
      </c>
      <c r="G1725">
        <v>202607</v>
      </c>
      <c r="H1725" t="s">
        <v>79</v>
      </c>
      <c r="I1725" t="s">
        <v>80</v>
      </c>
      <c r="J1725" t="s">
        <v>91</v>
      </c>
      <c r="K1725" t="s">
        <v>78</v>
      </c>
      <c r="L1725" t="s">
        <v>223</v>
      </c>
      <c r="M1725" t="s">
        <v>224</v>
      </c>
      <c r="N1725" t="s">
        <v>1592</v>
      </c>
      <c r="O1725" t="s">
        <v>82</v>
      </c>
      <c r="P1725" t="str">
        <f>"4170064494                    "</f>
        <v xml:space="preserve">4170064494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17.46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3.1</v>
      </c>
      <c r="BK1725">
        <v>4</v>
      </c>
      <c r="BL1725">
        <v>55.42</v>
      </c>
      <c r="BM1725">
        <v>8.31</v>
      </c>
      <c r="BN1725">
        <v>63.73</v>
      </c>
      <c r="BO1725">
        <v>63.73</v>
      </c>
      <c r="BQ1725" t="s">
        <v>1593</v>
      </c>
      <c r="BR1725" t="s">
        <v>97</v>
      </c>
      <c r="BS1725" s="3">
        <v>45946</v>
      </c>
      <c r="BT1725" s="4">
        <v>0.40069444444444446</v>
      </c>
      <c r="BU1725" t="s">
        <v>2480</v>
      </c>
      <c r="BV1725" t="s">
        <v>86</v>
      </c>
      <c r="BY1725">
        <v>15360</v>
      </c>
      <c r="CA1725" t="s">
        <v>1595</v>
      </c>
      <c r="CC1725" t="s">
        <v>224</v>
      </c>
      <c r="CD1725">
        <v>1459</v>
      </c>
      <c r="CE1725" t="s">
        <v>191</v>
      </c>
      <c r="CF1725" s="3">
        <v>45947</v>
      </c>
      <c r="CI1725">
        <v>1</v>
      </c>
      <c r="CJ1725">
        <v>1</v>
      </c>
      <c r="CK1725">
        <v>22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"080068543027"</f>
        <v>080068543027</v>
      </c>
      <c r="F1726" s="3">
        <v>45945</v>
      </c>
      <c r="G1726">
        <v>202607</v>
      </c>
      <c r="H1726" t="s">
        <v>79</v>
      </c>
      <c r="I1726" t="s">
        <v>80</v>
      </c>
      <c r="J1726" t="s">
        <v>91</v>
      </c>
      <c r="K1726" t="s">
        <v>78</v>
      </c>
      <c r="L1726" t="s">
        <v>1312</v>
      </c>
      <c r="M1726" t="s">
        <v>1313</v>
      </c>
      <c r="N1726" t="s">
        <v>1314</v>
      </c>
      <c r="O1726" t="s">
        <v>82</v>
      </c>
      <c r="P1726" t="str">
        <f>"4170064462                    "</f>
        <v xml:space="preserve">4170064462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31.44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99.79</v>
      </c>
      <c r="BM1726">
        <v>14.97</v>
      </c>
      <c r="BN1726">
        <v>114.76</v>
      </c>
      <c r="BO1726">
        <v>114.76</v>
      </c>
      <c r="BQ1726" t="s">
        <v>1315</v>
      </c>
      <c r="BR1726" t="s">
        <v>97</v>
      </c>
      <c r="BS1726" s="3">
        <v>45946</v>
      </c>
      <c r="BT1726" s="4">
        <v>0.33124999999999999</v>
      </c>
      <c r="BU1726" t="s">
        <v>2187</v>
      </c>
      <c r="BV1726" t="s">
        <v>86</v>
      </c>
      <c r="BY1726">
        <v>1200</v>
      </c>
      <c r="CA1726" t="s">
        <v>1318</v>
      </c>
      <c r="CC1726" t="s">
        <v>1313</v>
      </c>
      <c r="CD1726">
        <v>2410</v>
      </c>
      <c r="CE1726" t="s">
        <v>147</v>
      </c>
      <c r="CF1726" s="3">
        <v>45946</v>
      </c>
      <c r="CI1726">
        <v>1</v>
      </c>
      <c r="CJ1726">
        <v>1</v>
      </c>
      <c r="CK1726">
        <v>24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"080068543036"</f>
        <v>080068543036</v>
      </c>
      <c r="F1727" s="3">
        <v>45945</v>
      </c>
      <c r="G1727">
        <v>202607</v>
      </c>
      <c r="H1727" t="s">
        <v>79</v>
      </c>
      <c r="I1727" t="s">
        <v>80</v>
      </c>
      <c r="J1727" t="s">
        <v>91</v>
      </c>
      <c r="K1727" t="s">
        <v>78</v>
      </c>
      <c r="L1727" t="s">
        <v>168</v>
      </c>
      <c r="M1727" t="s">
        <v>169</v>
      </c>
      <c r="N1727" t="s">
        <v>2481</v>
      </c>
      <c r="O1727" t="s">
        <v>82</v>
      </c>
      <c r="P1727" t="str">
        <f>"4170064463                    "</f>
        <v xml:space="preserve">4170064463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22.36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70.959999999999994</v>
      </c>
      <c r="BM1727">
        <v>10.64</v>
      </c>
      <c r="BN1727">
        <v>81.599999999999994</v>
      </c>
      <c r="BO1727">
        <v>81.599999999999994</v>
      </c>
      <c r="BQ1727" t="s">
        <v>2482</v>
      </c>
      <c r="BR1727" t="s">
        <v>97</v>
      </c>
      <c r="BS1727" s="3">
        <v>45946</v>
      </c>
      <c r="BT1727" s="4">
        <v>0.375</v>
      </c>
      <c r="BU1727" t="s">
        <v>2483</v>
      </c>
      <c r="BV1727" t="s">
        <v>86</v>
      </c>
      <c r="BY1727">
        <v>1200</v>
      </c>
      <c r="CC1727" t="s">
        <v>169</v>
      </c>
      <c r="CD1727" s="5" t="s">
        <v>979</v>
      </c>
      <c r="CE1727" t="s">
        <v>147</v>
      </c>
      <c r="CF1727" s="3">
        <v>45946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"080068543044"</f>
        <v>080068543044</v>
      </c>
      <c r="F1728" s="3">
        <v>45945</v>
      </c>
      <c r="G1728">
        <v>202607</v>
      </c>
      <c r="H1728" t="s">
        <v>79</v>
      </c>
      <c r="I1728" t="s">
        <v>80</v>
      </c>
      <c r="J1728" t="s">
        <v>91</v>
      </c>
      <c r="K1728" t="s">
        <v>78</v>
      </c>
      <c r="L1728" t="s">
        <v>1312</v>
      </c>
      <c r="M1728" t="s">
        <v>1313</v>
      </c>
      <c r="N1728" t="s">
        <v>1314</v>
      </c>
      <c r="O1728" t="s">
        <v>82</v>
      </c>
      <c r="P1728" t="str">
        <f>"4170064417                    "</f>
        <v xml:space="preserve">4170064417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31.44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1.7</v>
      </c>
      <c r="BK1728">
        <v>2</v>
      </c>
      <c r="BL1728">
        <v>99.79</v>
      </c>
      <c r="BM1728">
        <v>14.97</v>
      </c>
      <c r="BN1728">
        <v>114.76</v>
      </c>
      <c r="BO1728">
        <v>114.76</v>
      </c>
      <c r="BQ1728" t="s">
        <v>1315</v>
      </c>
      <c r="BR1728" t="s">
        <v>97</v>
      </c>
      <c r="BS1728" s="3">
        <v>45946</v>
      </c>
      <c r="BT1728" s="4">
        <v>0.33124999999999999</v>
      </c>
      <c r="BU1728" t="s">
        <v>2187</v>
      </c>
      <c r="BV1728" t="s">
        <v>86</v>
      </c>
      <c r="BY1728">
        <v>8748</v>
      </c>
      <c r="CA1728" t="s">
        <v>1318</v>
      </c>
      <c r="CC1728" t="s">
        <v>1313</v>
      </c>
      <c r="CD1728">
        <v>2410</v>
      </c>
      <c r="CE1728" t="s">
        <v>107</v>
      </c>
      <c r="CF1728" s="3">
        <v>45946</v>
      </c>
      <c r="CI1728">
        <v>1</v>
      </c>
      <c r="CJ1728">
        <v>1</v>
      </c>
      <c r="CK1728">
        <v>24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"080068543053"</f>
        <v>080068543053</v>
      </c>
      <c r="F1729" s="3">
        <v>45945</v>
      </c>
      <c r="G1729">
        <v>202607</v>
      </c>
      <c r="H1729" t="s">
        <v>79</v>
      </c>
      <c r="I1729" t="s">
        <v>80</v>
      </c>
      <c r="J1729" t="s">
        <v>91</v>
      </c>
      <c r="K1729" t="s">
        <v>78</v>
      </c>
      <c r="L1729" t="s">
        <v>206</v>
      </c>
      <c r="M1729" t="s">
        <v>207</v>
      </c>
      <c r="N1729" t="s">
        <v>412</v>
      </c>
      <c r="O1729" t="s">
        <v>82</v>
      </c>
      <c r="P1729" t="str">
        <f>"4170064478                    "</f>
        <v xml:space="preserve">4170064478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50.28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4.0999999999999996</v>
      </c>
      <c r="BK1729">
        <v>4.5</v>
      </c>
      <c r="BL1729">
        <v>159.58000000000001</v>
      </c>
      <c r="BM1729">
        <v>23.94</v>
      </c>
      <c r="BN1729">
        <v>183.52</v>
      </c>
      <c r="BO1729">
        <v>183.52</v>
      </c>
      <c r="BQ1729" t="s">
        <v>413</v>
      </c>
      <c r="BR1729" t="s">
        <v>97</v>
      </c>
      <c r="BS1729" s="3">
        <v>45946</v>
      </c>
      <c r="BT1729" s="4">
        <v>0.36249999999999999</v>
      </c>
      <c r="BU1729" t="s">
        <v>414</v>
      </c>
      <c r="BV1729" t="s">
        <v>86</v>
      </c>
      <c r="BY1729">
        <v>20358</v>
      </c>
      <c r="CA1729" t="s">
        <v>415</v>
      </c>
      <c r="CC1729" t="s">
        <v>207</v>
      </c>
      <c r="CD1729">
        <v>7493</v>
      </c>
      <c r="CE1729" t="s">
        <v>191</v>
      </c>
      <c r="CF1729" s="3">
        <v>45947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"080068543129"</f>
        <v>080068543129</v>
      </c>
      <c r="F1730" s="3">
        <v>45945</v>
      </c>
      <c r="G1730">
        <v>202607</v>
      </c>
      <c r="H1730" t="s">
        <v>79</v>
      </c>
      <c r="I1730" t="s">
        <v>80</v>
      </c>
      <c r="J1730" t="s">
        <v>91</v>
      </c>
      <c r="K1730" t="s">
        <v>78</v>
      </c>
      <c r="L1730" t="s">
        <v>239</v>
      </c>
      <c r="M1730" t="s">
        <v>240</v>
      </c>
      <c r="N1730" t="s">
        <v>526</v>
      </c>
      <c r="O1730" t="s">
        <v>82</v>
      </c>
      <c r="P1730" t="str">
        <f>"4170064498                    "</f>
        <v xml:space="preserve">4170064498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43.31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1.2</v>
      </c>
      <c r="BJ1730">
        <v>0.9</v>
      </c>
      <c r="BK1730">
        <v>1.5</v>
      </c>
      <c r="BL1730">
        <v>137.47</v>
      </c>
      <c r="BM1730">
        <v>20.62</v>
      </c>
      <c r="BN1730">
        <v>158.09</v>
      </c>
      <c r="BO1730">
        <v>158.09</v>
      </c>
      <c r="BQ1730" t="s">
        <v>527</v>
      </c>
      <c r="BR1730" t="s">
        <v>97</v>
      </c>
      <c r="BS1730" s="3">
        <v>45946</v>
      </c>
      <c r="BT1730" s="4">
        <v>0.41875000000000001</v>
      </c>
      <c r="BU1730" t="s">
        <v>528</v>
      </c>
      <c r="BV1730" t="s">
        <v>86</v>
      </c>
      <c r="BY1730">
        <v>4423.49</v>
      </c>
      <c r="CA1730" t="s">
        <v>529</v>
      </c>
      <c r="CC1730" t="s">
        <v>240</v>
      </c>
      <c r="CD1730" s="5" t="s">
        <v>245</v>
      </c>
      <c r="CE1730" t="s">
        <v>191</v>
      </c>
      <c r="CF1730" s="3">
        <v>45947</v>
      </c>
      <c r="CI1730">
        <v>1</v>
      </c>
      <c r="CJ1730">
        <v>1</v>
      </c>
      <c r="CK1730">
        <v>23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"080068543148"</f>
        <v>080068543148</v>
      </c>
      <c r="F1731" s="3">
        <v>45945</v>
      </c>
      <c r="G1731">
        <v>202607</v>
      </c>
      <c r="H1731" t="s">
        <v>79</v>
      </c>
      <c r="I1731" t="s">
        <v>80</v>
      </c>
      <c r="J1731" t="s">
        <v>91</v>
      </c>
      <c r="K1731" t="s">
        <v>78</v>
      </c>
      <c r="L1731" t="s">
        <v>306</v>
      </c>
      <c r="M1731" t="s">
        <v>307</v>
      </c>
      <c r="N1731" t="s">
        <v>335</v>
      </c>
      <c r="O1731" t="s">
        <v>82</v>
      </c>
      <c r="P1731" t="str">
        <f>"4170064436                    "</f>
        <v xml:space="preserve">4170064436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22.36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70.959999999999994</v>
      </c>
      <c r="BM1731">
        <v>10.64</v>
      </c>
      <c r="BN1731">
        <v>81.599999999999994</v>
      </c>
      <c r="BO1731">
        <v>81.599999999999994</v>
      </c>
      <c r="BQ1731" t="s">
        <v>475</v>
      </c>
      <c r="BR1731" t="s">
        <v>97</v>
      </c>
      <c r="BS1731" s="3">
        <v>45946</v>
      </c>
      <c r="BT1731" s="4">
        <v>0.52222222222222225</v>
      </c>
      <c r="BU1731" t="s">
        <v>1436</v>
      </c>
      <c r="BV1731" t="s">
        <v>90</v>
      </c>
      <c r="BY1731">
        <v>1200</v>
      </c>
      <c r="CC1731" t="s">
        <v>307</v>
      </c>
      <c r="CD1731">
        <v>4133</v>
      </c>
      <c r="CE1731" t="s">
        <v>147</v>
      </c>
      <c r="CF1731" s="3">
        <v>45946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"080068543152"</f>
        <v>080068543152</v>
      </c>
      <c r="F1732" s="3">
        <v>45945</v>
      </c>
      <c r="G1732">
        <v>202607</v>
      </c>
      <c r="H1732" t="s">
        <v>79</v>
      </c>
      <c r="I1732" t="s">
        <v>80</v>
      </c>
      <c r="J1732" t="s">
        <v>91</v>
      </c>
      <c r="K1732" t="s">
        <v>78</v>
      </c>
      <c r="L1732" t="s">
        <v>168</v>
      </c>
      <c r="M1732" t="s">
        <v>169</v>
      </c>
      <c r="N1732" t="s">
        <v>2484</v>
      </c>
      <c r="O1732" t="s">
        <v>82</v>
      </c>
      <c r="P1732" t="str">
        <f>"4170064487                    "</f>
        <v xml:space="preserve">4170064487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22.36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</v>
      </c>
      <c r="BJ1732">
        <v>1.7</v>
      </c>
      <c r="BK1732">
        <v>2</v>
      </c>
      <c r="BL1732">
        <v>70.959999999999994</v>
      </c>
      <c r="BM1732">
        <v>10.64</v>
      </c>
      <c r="BN1732">
        <v>81.599999999999994</v>
      </c>
      <c r="BO1732">
        <v>81.599999999999994</v>
      </c>
      <c r="BQ1732" t="s">
        <v>2485</v>
      </c>
      <c r="BR1732" t="s">
        <v>97</v>
      </c>
      <c r="BS1732" s="3">
        <v>45946</v>
      </c>
      <c r="BT1732" s="4">
        <v>0.4152777777777778</v>
      </c>
      <c r="BU1732" t="s">
        <v>2486</v>
      </c>
      <c r="BV1732" t="s">
        <v>86</v>
      </c>
      <c r="BY1732">
        <v>8512</v>
      </c>
      <c r="CA1732">
        <v>8611235585086</v>
      </c>
      <c r="CC1732" t="s">
        <v>169</v>
      </c>
      <c r="CD1732" s="5" t="s">
        <v>1061</v>
      </c>
      <c r="CE1732" t="s">
        <v>191</v>
      </c>
      <c r="CF1732" s="3">
        <v>45946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"080068543159"</f>
        <v>080068543159</v>
      </c>
      <c r="F1733" s="3">
        <v>45945</v>
      </c>
      <c r="G1733">
        <v>202607</v>
      </c>
      <c r="H1733" t="s">
        <v>79</v>
      </c>
      <c r="I1733" t="s">
        <v>80</v>
      </c>
      <c r="J1733" t="s">
        <v>91</v>
      </c>
      <c r="K1733" t="s">
        <v>78</v>
      </c>
      <c r="L1733" t="s">
        <v>271</v>
      </c>
      <c r="M1733" t="s">
        <v>272</v>
      </c>
      <c r="N1733" t="s">
        <v>443</v>
      </c>
      <c r="O1733" t="s">
        <v>82</v>
      </c>
      <c r="P1733" t="str">
        <f>"4170064484                    "</f>
        <v xml:space="preserve">4170064484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17.46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55.42</v>
      </c>
      <c r="BM1733">
        <v>8.31</v>
      </c>
      <c r="BN1733">
        <v>63.73</v>
      </c>
      <c r="BO1733">
        <v>63.73</v>
      </c>
      <c r="BQ1733" t="s">
        <v>444</v>
      </c>
      <c r="BR1733" t="s">
        <v>97</v>
      </c>
      <c r="BS1733" s="3">
        <v>45946</v>
      </c>
      <c r="BT1733" s="4">
        <v>0.43263888888888891</v>
      </c>
      <c r="BU1733" t="s">
        <v>2487</v>
      </c>
      <c r="BV1733" t="s">
        <v>86</v>
      </c>
      <c r="BY1733">
        <v>1200</v>
      </c>
      <c r="CA1733" t="s">
        <v>661</v>
      </c>
      <c r="CC1733" t="s">
        <v>272</v>
      </c>
      <c r="CD1733">
        <v>1428</v>
      </c>
      <c r="CE1733" t="s">
        <v>147</v>
      </c>
      <c r="CF1733" s="3">
        <v>45947</v>
      </c>
      <c r="CI1733">
        <v>1</v>
      </c>
      <c r="CJ1733">
        <v>1</v>
      </c>
      <c r="CK1733">
        <v>22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"080068543170"</f>
        <v>080068543170</v>
      </c>
      <c r="F1734" s="3">
        <v>45945</v>
      </c>
      <c r="G1734">
        <v>202607</v>
      </c>
      <c r="H1734" t="s">
        <v>79</v>
      </c>
      <c r="I1734" t="s">
        <v>80</v>
      </c>
      <c r="J1734" t="s">
        <v>91</v>
      </c>
      <c r="K1734" t="s">
        <v>78</v>
      </c>
      <c r="L1734" t="s">
        <v>469</v>
      </c>
      <c r="M1734" t="s">
        <v>470</v>
      </c>
      <c r="N1734" t="s">
        <v>471</v>
      </c>
      <c r="O1734" t="s">
        <v>82</v>
      </c>
      <c r="P1734" t="str">
        <f>"4170064500                    "</f>
        <v xml:space="preserve">4170064500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43.31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137.47</v>
      </c>
      <c r="BM1734">
        <v>20.62</v>
      </c>
      <c r="BN1734">
        <v>158.09</v>
      </c>
      <c r="BO1734">
        <v>158.09</v>
      </c>
      <c r="BQ1734" t="s">
        <v>472</v>
      </c>
      <c r="BR1734" t="s">
        <v>97</v>
      </c>
      <c r="BS1734" s="3">
        <v>45946</v>
      </c>
      <c r="BT1734" s="4">
        <v>0.50138888888888888</v>
      </c>
      <c r="BU1734" t="s">
        <v>2488</v>
      </c>
      <c r="BV1734" t="s">
        <v>86</v>
      </c>
      <c r="BY1734">
        <v>1200</v>
      </c>
      <c r="CA1734" t="s">
        <v>474</v>
      </c>
      <c r="CC1734" t="s">
        <v>470</v>
      </c>
      <c r="CD1734">
        <v>7299</v>
      </c>
      <c r="CE1734" t="s">
        <v>147</v>
      </c>
      <c r="CF1734" s="3">
        <v>45947</v>
      </c>
      <c r="CI1734">
        <v>1</v>
      </c>
      <c r="CJ1734">
        <v>1</v>
      </c>
      <c r="CK1734">
        <v>23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"080068543193"</f>
        <v>080068543193</v>
      </c>
      <c r="F1735" s="3">
        <v>45945</v>
      </c>
      <c r="G1735">
        <v>202607</v>
      </c>
      <c r="H1735" t="s">
        <v>79</v>
      </c>
      <c r="I1735" t="s">
        <v>80</v>
      </c>
      <c r="J1735" t="s">
        <v>91</v>
      </c>
      <c r="K1735" t="s">
        <v>78</v>
      </c>
      <c r="L1735" t="s">
        <v>265</v>
      </c>
      <c r="M1735" t="s">
        <v>266</v>
      </c>
      <c r="N1735" t="s">
        <v>536</v>
      </c>
      <c r="O1735" t="s">
        <v>82</v>
      </c>
      <c r="P1735" t="str">
        <f>"4170064486                    "</f>
        <v xml:space="preserve">4170064486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22.36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70.959999999999994</v>
      </c>
      <c r="BM1735">
        <v>10.64</v>
      </c>
      <c r="BN1735">
        <v>81.599999999999994</v>
      </c>
      <c r="BO1735">
        <v>81.599999999999994</v>
      </c>
      <c r="BQ1735" t="s">
        <v>537</v>
      </c>
      <c r="BR1735" t="s">
        <v>97</v>
      </c>
      <c r="BS1735" s="3">
        <v>45946</v>
      </c>
      <c r="BT1735" s="4">
        <v>0.33402777777777776</v>
      </c>
      <c r="BU1735" t="s">
        <v>1522</v>
      </c>
      <c r="BV1735" t="s">
        <v>86</v>
      </c>
      <c r="BY1735">
        <v>1200</v>
      </c>
      <c r="CA1735" t="s">
        <v>818</v>
      </c>
      <c r="CC1735" t="s">
        <v>266</v>
      </c>
      <c r="CD1735">
        <v>6230</v>
      </c>
      <c r="CE1735" t="s">
        <v>147</v>
      </c>
      <c r="CF1735" s="3">
        <v>45946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"080068543201"</f>
        <v>080068543201</v>
      </c>
      <c r="F1736" s="3">
        <v>45945</v>
      </c>
      <c r="G1736">
        <v>202607</v>
      </c>
      <c r="H1736" t="s">
        <v>79</v>
      </c>
      <c r="I1736" t="s">
        <v>80</v>
      </c>
      <c r="J1736" t="s">
        <v>91</v>
      </c>
      <c r="K1736" t="s">
        <v>78</v>
      </c>
      <c r="L1736" t="s">
        <v>79</v>
      </c>
      <c r="M1736" t="s">
        <v>80</v>
      </c>
      <c r="N1736" t="s">
        <v>539</v>
      </c>
      <c r="O1736" t="s">
        <v>82</v>
      </c>
      <c r="P1736" t="str">
        <f>"4170064491                    "</f>
        <v xml:space="preserve">4170064491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17.46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55.42</v>
      </c>
      <c r="BM1736">
        <v>8.31</v>
      </c>
      <c r="BN1736">
        <v>63.73</v>
      </c>
      <c r="BO1736">
        <v>63.73</v>
      </c>
      <c r="BQ1736" t="s">
        <v>540</v>
      </c>
      <c r="BR1736" t="s">
        <v>97</v>
      </c>
      <c r="BS1736" s="3">
        <v>45946</v>
      </c>
      <c r="BT1736" s="4">
        <v>0.41666666666666669</v>
      </c>
      <c r="BU1736" t="s">
        <v>781</v>
      </c>
      <c r="BV1736" t="s">
        <v>86</v>
      </c>
      <c r="BY1736">
        <v>1200</v>
      </c>
      <c r="CA1736" t="s">
        <v>1659</v>
      </c>
      <c r="CC1736" t="s">
        <v>80</v>
      </c>
      <c r="CD1736">
        <v>1614</v>
      </c>
      <c r="CE1736" t="s">
        <v>147</v>
      </c>
      <c r="CF1736" s="3">
        <v>45946</v>
      </c>
      <c r="CI1736">
        <v>1</v>
      </c>
      <c r="CJ1736">
        <v>1</v>
      </c>
      <c r="CK1736">
        <v>22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"080068543209"</f>
        <v>080068543209</v>
      </c>
      <c r="F1737" s="3">
        <v>45945</v>
      </c>
      <c r="G1737">
        <v>202607</v>
      </c>
      <c r="H1737" t="s">
        <v>79</v>
      </c>
      <c r="I1737" t="s">
        <v>80</v>
      </c>
      <c r="J1737" t="s">
        <v>91</v>
      </c>
      <c r="K1737" t="s">
        <v>78</v>
      </c>
      <c r="L1737" t="s">
        <v>265</v>
      </c>
      <c r="M1737" t="s">
        <v>266</v>
      </c>
      <c r="N1737" t="s">
        <v>536</v>
      </c>
      <c r="O1737" t="s">
        <v>82</v>
      </c>
      <c r="P1737" t="str">
        <f>"4170064485                    "</f>
        <v xml:space="preserve">4170064485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22.36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70.959999999999994</v>
      </c>
      <c r="BM1737">
        <v>10.64</v>
      </c>
      <c r="BN1737">
        <v>81.599999999999994</v>
      </c>
      <c r="BO1737">
        <v>81.599999999999994</v>
      </c>
      <c r="BQ1737" t="s">
        <v>537</v>
      </c>
      <c r="BR1737" t="s">
        <v>97</v>
      </c>
      <c r="BS1737" s="3">
        <v>45946</v>
      </c>
      <c r="BT1737" s="4">
        <v>0.33402777777777776</v>
      </c>
      <c r="BU1737" t="s">
        <v>1522</v>
      </c>
      <c r="BV1737" t="s">
        <v>86</v>
      </c>
      <c r="BY1737">
        <v>1200</v>
      </c>
      <c r="CA1737" t="s">
        <v>818</v>
      </c>
      <c r="CC1737" t="s">
        <v>266</v>
      </c>
      <c r="CD1737">
        <v>6230</v>
      </c>
      <c r="CE1737" t="s">
        <v>147</v>
      </c>
      <c r="CF1737" s="3">
        <v>45946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"080068543241"</f>
        <v>080068543241</v>
      </c>
      <c r="F1738" s="3">
        <v>45945</v>
      </c>
      <c r="G1738">
        <v>202607</v>
      </c>
      <c r="H1738" t="s">
        <v>79</v>
      </c>
      <c r="I1738" t="s">
        <v>80</v>
      </c>
      <c r="J1738" t="s">
        <v>91</v>
      </c>
      <c r="K1738" t="s">
        <v>78</v>
      </c>
      <c r="L1738" t="s">
        <v>168</v>
      </c>
      <c r="M1738" t="s">
        <v>169</v>
      </c>
      <c r="N1738" t="s">
        <v>2484</v>
      </c>
      <c r="O1738" t="s">
        <v>95</v>
      </c>
      <c r="P1738" t="str">
        <f>"4170064474                    "</f>
        <v xml:space="preserve">4170064474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62.86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3</v>
      </c>
      <c r="BI1738">
        <v>26</v>
      </c>
      <c r="BJ1738">
        <v>25.9</v>
      </c>
      <c r="BK1738">
        <v>26</v>
      </c>
      <c r="BL1738">
        <v>205.39</v>
      </c>
      <c r="BM1738">
        <v>30.81</v>
      </c>
      <c r="BN1738">
        <v>236.2</v>
      </c>
      <c r="BO1738">
        <v>236.2</v>
      </c>
      <c r="BQ1738" t="s">
        <v>2485</v>
      </c>
      <c r="BR1738" t="s">
        <v>97</v>
      </c>
      <c r="BS1738" s="3">
        <v>45946</v>
      </c>
      <c r="BT1738" s="4">
        <v>0.41319444444444442</v>
      </c>
      <c r="BU1738" t="s">
        <v>2486</v>
      </c>
      <c r="BV1738" t="s">
        <v>86</v>
      </c>
      <c r="BY1738">
        <v>129552</v>
      </c>
      <c r="CA1738">
        <v>8611235585086</v>
      </c>
      <c r="CC1738" t="s">
        <v>169</v>
      </c>
      <c r="CD1738" s="5" t="s">
        <v>1061</v>
      </c>
      <c r="CE1738" t="s">
        <v>107</v>
      </c>
      <c r="CF1738" s="3">
        <v>45946</v>
      </c>
      <c r="CI1738">
        <v>1</v>
      </c>
      <c r="CJ1738">
        <v>1</v>
      </c>
      <c r="CK1738">
        <v>41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"080068543255"</f>
        <v>080068543255</v>
      </c>
      <c r="F1739" s="3">
        <v>45945</v>
      </c>
      <c r="G1739">
        <v>202607</v>
      </c>
      <c r="H1739" t="s">
        <v>79</v>
      </c>
      <c r="I1739" t="s">
        <v>80</v>
      </c>
      <c r="J1739" t="s">
        <v>91</v>
      </c>
      <c r="K1739" t="s">
        <v>78</v>
      </c>
      <c r="L1739" t="s">
        <v>668</v>
      </c>
      <c r="M1739" t="s">
        <v>669</v>
      </c>
      <c r="N1739" t="s">
        <v>2489</v>
      </c>
      <c r="O1739" t="s">
        <v>82</v>
      </c>
      <c r="P1739" t="str">
        <f>"4170064490                    "</f>
        <v xml:space="preserve">4170064490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17.46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1.1000000000000001</v>
      </c>
      <c r="BK1739">
        <v>2</v>
      </c>
      <c r="BL1739">
        <v>55.42</v>
      </c>
      <c r="BM1739">
        <v>8.31</v>
      </c>
      <c r="BN1739">
        <v>63.73</v>
      </c>
      <c r="BO1739">
        <v>63.73</v>
      </c>
      <c r="BQ1739" t="s">
        <v>2490</v>
      </c>
      <c r="BR1739" t="s">
        <v>97</v>
      </c>
      <c r="BS1739" s="3">
        <v>45946</v>
      </c>
      <c r="BT1739" s="4">
        <v>0.41875000000000001</v>
      </c>
      <c r="BU1739" t="s">
        <v>2491</v>
      </c>
      <c r="BV1739" t="s">
        <v>86</v>
      </c>
      <c r="BY1739">
        <v>5510</v>
      </c>
      <c r="CA1739" t="s">
        <v>673</v>
      </c>
      <c r="CC1739" t="s">
        <v>669</v>
      </c>
      <c r="CD1739">
        <v>1501</v>
      </c>
      <c r="CE1739" t="s">
        <v>191</v>
      </c>
      <c r="CF1739" s="3">
        <v>45947</v>
      </c>
      <c r="CI1739">
        <v>1</v>
      </c>
      <c r="CJ1739">
        <v>1</v>
      </c>
      <c r="CK1739">
        <v>22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"080068543274"</f>
        <v>080068543274</v>
      </c>
      <c r="F1740" s="3">
        <v>45945</v>
      </c>
      <c r="G1740">
        <v>202607</v>
      </c>
      <c r="H1740" t="s">
        <v>79</v>
      </c>
      <c r="I1740" t="s">
        <v>80</v>
      </c>
      <c r="J1740" t="s">
        <v>91</v>
      </c>
      <c r="K1740" t="s">
        <v>78</v>
      </c>
      <c r="L1740" t="s">
        <v>259</v>
      </c>
      <c r="M1740" t="s">
        <v>260</v>
      </c>
      <c r="N1740" t="s">
        <v>261</v>
      </c>
      <c r="O1740" t="s">
        <v>82</v>
      </c>
      <c r="P1740" t="str">
        <f>"4170064496                    "</f>
        <v xml:space="preserve">4170064496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62.87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2.8</v>
      </c>
      <c r="BJ1740">
        <v>1.8</v>
      </c>
      <c r="BK1740">
        <v>3</v>
      </c>
      <c r="BL1740">
        <v>199.55</v>
      </c>
      <c r="BM1740">
        <v>29.93</v>
      </c>
      <c r="BN1740">
        <v>229.48</v>
      </c>
      <c r="BO1740">
        <v>229.48</v>
      </c>
      <c r="BQ1740" t="s">
        <v>262</v>
      </c>
      <c r="BR1740" t="s">
        <v>97</v>
      </c>
      <c r="BS1740" s="3">
        <v>45946</v>
      </c>
      <c r="BT1740" s="4">
        <v>0.67361111111111116</v>
      </c>
      <c r="BU1740" t="s">
        <v>2492</v>
      </c>
      <c r="BV1740" t="s">
        <v>86</v>
      </c>
      <c r="BY1740">
        <v>9136.7999999999993</v>
      </c>
      <c r="CA1740" t="s">
        <v>264</v>
      </c>
      <c r="CC1740" t="s">
        <v>260</v>
      </c>
      <c r="CD1740">
        <v>2380</v>
      </c>
      <c r="CE1740" t="s">
        <v>107</v>
      </c>
      <c r="CF1740" s="3">
        <v>45947</v>
      </c>
      <c r="CI1740">
        <v>1</v>
      </c>
      <c r="CJ1740">
        <v>1</v>
      </c>
      <c r="CK1740">
        <v>23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"080068543418"</f>
        <v>080068543418</v>
      </c>
      <c r="F1741" s="3">
        <v>45945</v>
      </c>
      <c r="G1741">
        <v>202607</v>
      </c>
      <c r="H1741" t="s">
        <v>79</v>
      </c>
      <c r="I1741" t="s">
        <v>80</v>
      </c>
      <c r="J1741" t="s">
        <v>91</v>
      </c>
      <c r="K1741" t="s">
        <v>78</v>
      </c>
      <c r="L1741" t="s">
        <v>322</v>
      </c>
      <c r="M1741" t="s">
        <v>322</v>
      </c>
      <c r="N1741" t="s">
        <v>481</v>
      </c>
      <c r="O1741" t="s">
        <v>95</v>
      </c>
      <c r="P1741" t="str">
        <f>"4170064488                    "</f>
        <v xml:space="preserve">4170064488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123.26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14</v>
      </c>
      <c r="BJ1741">
        <v>34.200000000000003</v>
      </c>
      <c r="BK1741">
        <v>35</v>
      </c>
      <c r="BL1741">
        <v>397.08</v>
      </c>
      <c r="BM1741">
        <v>59.56</v>
      </c>
      <c r="BN1741">
        <v>456.64</v>
      </c>
      <c r="BO1741">
        <v>456.64</v>
      </c>
      <c r="BQ1741" t="s">
        <v>482</v>
      </c>
      <c r="BR1741" t="s">
        <v>97</v>
      </c>
      <c r="BS1741" s="3">
        <v>45947</v>
      </c>
      <c r="BT1741" s="4">
        <v>0.54166666666666663</v>
      </c>
      <c r="BU1741" t="s">
        <v>1402</v>
      </c>
      <c r="BV1741" t="s">
        <v>86</v>
      </c>
      <c r="BY1741">
        <v>171120</v>
      </c>
      <c r="CA1741" t="s">
        <v>326</v>
      </c>
      <c r="CC1741" t="s">
        <v>322</v>
      </c>
      <c r="CD1741">
        <v>7646</v>
      </c>
      <c r="CE1741" t="s">
        <v>191</v>
      </c>
      <c r="CF1741" s="3">
        <v>45950</v>
      </c>
      <c r="CI1741">
        <v>3</v>
      </c>
      <c r="CJ1741">
        <v>2</v>
      </c>
      <c r="CK1741">
        <v>43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"R080068245522"</f>
        <v>R080068245522</v>
      </c>
      <c r="F1742" s="3">
        <v>45936</v>
      </c>
      <c r="G1742">
        <v>202607</v>
      </c>
      <c r="H1742" t="s">
        <v>79</v>
      </c>
      <c r="I1742" t="s">
        <v>80</v>
      </c>
      <c r="J1742" t="s">
        <v>91</v>
      </c>
      <c r="K1742" t="s">
        <v>78</v>
      </c>
      <c r="L1742" t="s">
        <v>121</v>
      </c>
      <c r="M1742" t="s">
        <v>122</v>
      </c>
      <c r="N1742" t="s">
        <v>552</v>
      </c>
      <c r="O1742" t="s">
        <v>95</v>
      </c>
      <c r="P1742" t="str">
        <f>"4170062488                    "</f>
        <v xml:space="preserve">4170062488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</v>
      </c>
      <c r="BK1742">
        <v>1</v>
      </c>
      <c r="BL1742">
        <v>0</v>
      </c>
      <c r="BM1742">
        <v>0</v>
      </c>
      <c r="BN1742">
        <v>0</v>
      </c>
      <c r="BO1742">
        <v>0</v>
      </c>
      <c r="BQ1742" t="s">
        <v>553</v>
      </c>
      <c r="BR1742" t="s">
        <v>2493</v>
      </c>
      <c r="BS1742" s="3">
        <v>45937</v>
      </c>
      <c r="BT1742" s="4">
        <v>0.67708333333333337</v>
      </c>
      <c r="BU1742" t="s">
        <v>2494</v>
      </c>
      <c r="BV1742" t="s">
        <v>86</v>
      </c>
      <c r="BY1742">
        <v>1200</v>
      </c>
      <c r="BZ1742" t="s">
        <v>99</v>
      </c>
      <c r="CA1742" t="s">
        <v>1996</v>
      </c>
      <c r="CC1742" t="s">
        <v>122</v>
      </c>
      <c r="CD1742">
        <v>4000</v>
      </c>
      <c r="CE1742" t="s">
        <v>120</v>
      </c>
      <c r="CF1742" s="3">
        <v>45938</v>
      </c>
      <c r="CI1742">
        <v>1</v>
      </c>
      <c r="CJ1742">
        <v>1</v>
      </c>
      <c r="CK1742">
        <v>-1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"080068415611"</f>
        <v>080068415611</v>
      </c>
      <c r="F1743" s="3">
        <v>45939</v>
      </c>
      <c r="G1743">
        <v>202607</v>
      </c>
      <c r="H1743" t="s">
        <v>79</v>
      </c>
      <c r="I1743" t="s">
        <v>80</v>
      </c>
      <c r="J1743" t="s">
        <v>1944</v>
      </c>
      <c r="K1743" t="s">
        <v>78</v>
      </c>
      <c r="L1743" t="s">
        <v>168</v>
      </c>
      <c r="M1743" t="s">
        <v>169</v>
      </c>
      <c r="N1743" t="s">
        <v>2495</v>
      </c>
      <c r="O1743" t="s">
        <v>82</v>
      </c>
      <c r="P1743" t="str">
        <f>"4170063697                    "</f>
        <v xml:space="preserve">4170063697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22.36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0.7</v>
      </c>
      <c r="BK1743">
        <v>1</v>
      </c>
      <c r="BL1743">
        <v>70.959999999999994</v>
      </c>
      <c r="BM1743">
        <v>10.64</v>
      </c>
      <c r="BN1743">
        <v>81.599999999999994</v>
      </c>
      <c r="BO1743">
        <v>81.599999999999994</v>
      </c>
      <c r="BQ1743" t="s">
        <v>2496</v>
      </c>
      <c r="BR1743" t="s">
        <v>1945</v>
      </c>
      <c r="BS1743" s="3">
        <v>45940</v>
      </c>
      <c r="BT1743" s="4">
        <v>0.52847222222222223</v>
      </c>
      <c r="BU1743" t="s">
        <v>2497</v>
      </c>
      <c r="BV1743" t="s">
        <v>86</v>
      </c>
      <c r="BY1743">
        <v>3306</v>
      </c>
      <c r="BZ1743" t="s">
        <v>2096</v>
      </c>
      <c r="CC1743" t="s">
        <v>169</v>
      </c>
      <c r="CD1743" s="5" t="s">
        <v>1108</v>
      </c>
      <c r="CE1743" t="s">
        <v>101</v>
      </c>
      <c r="CF1743" s="3">
        <v>45940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"080068548994"</f>
        <v>080068548994</v>
      </c>
      <c r="F1744" s="3">
        <v>45946</v>
      </c>
      <c r="G1744">
        <v>202607</v>
      </c>
      <c r="H1744" t="s">
        <v>79</v>
      </c>
      <c r="I1744" t="s">
        <v>80</v>
      </c>
      <c r="J1744" t="s">
        <v>91</v>
      </c>
      <c r="K1744" t="s">
        <v>78</v>
      </c>
      <c r="L1744" t="s">
        <v>108</v>
      </c>
      <c r="M1744" t="s">
        <v>109</v>
      </c>
      <c r="N1744" t="s">
        <v>2498</v>
      </c>
      <c r="O1744" t="s">
        <v>82</v>
      </c>
      <c r="P1744" t="str">
        <f>"4170064481                    "</f>
        <v xml:space="preserve">4170064481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72.62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4</v>
      </c>
      <c r="BJ1744">
        <v>6.3</v>
      </c>
      <c r="BK1744">
        <v>6.5</v>
      </c>
      <c r="BL1744">
        <v>230.48</v>
      </c>
      <c r="BM1744">
        <v>34.57</v>
      </c>
      <c r="BN1744">
        <v>265.05</v>
      </c>
      <c r="BO1744">
        <v>265.05</v>
      </c>
      <c r="BQ1744" t="s">
        <v>2499</v>
      </c>
      <c r="BR1744" t="s">
        <v>97</v>
      </c>
      <c r="BS1744" s="3">
        <v>45947</v>
      </c>
      <c r="BT1744" s="4">
        <v>0.39930555555555558</v>
      </c>
      <c r="BU1744" t="s">
        <v>2500</v>
      </c>
      <c r="BV1744" t="s">
        <v>86</v>
      </c>
      <c r="BY1744">
        <v>31360</v>
      </c>
      <c r="CA1744" t="s">
        <v>1145</v>
      </c>
      <c r="CC1744" t="s">
        <v>109</v>
      </c>
      <c r="CD1744">
        <v>6001</v>
      </c>
      <c r="CE1744" t="s">
        <v>191</v>
      </c>
      <c r="CF1744" s="3">
        <v>45947</v>
      </c>
      <c r="CI1744">
        <v>1</v>
      </c>
      <c r="CJ1744">
        <v>1</v>
      </c>
      <c r="CK1744">
        <v>21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"080068557019"</f>
        <v>080068557019</v>
      </c>
      <c r="F1745" s="3">
        <v>45946</v>
      </c>
      <c r="G1745">
        <v>202607</v>
      </c>
      <c r="H1745" t="s">
        <v>79</v>
      </c>
      <c r="I1745" t="s">
        <v>80</v>
      </c>
      <c r="J1745" t="s">
        <v>91</v>
      </c>
      <c r="K1745" t="s">
        <v>78</v>
      </c>
      <c r="L1745" t="s">
        <v>121</v>
      </c>
      <c r="M1745" t="s">
        <v>122</v>
      </c>
      <c r="N1745" t="s">
        <v>648</v>
      </c>
      <c r="O1745" t="s">
        <v>82</v>
      </c>
      <c r="P1745" t="str">
        <f>"4170064584                    "</f>
        <v xml:space="preserve">4170064584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22.36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70.959999999999994</v>
      </c>
      <c r="BM1745">
        <v>10.64</v>
      </c>
      <c r="BN1745">
        <v>81.599999999999994</v>
      </c>
      <c r="BO1745">
        <v>81.599999999999994</v>
      </c>
      <c r="BQ1745" t="s">
        <v>649</v>
      </c>
      <c r="BR1745" t="s">
        <v>97</v>
      </c>
      <c r="BS1745" s="3">
        <v>45947</v>
      </c>
      <c r="BT1745" s="4">
        <v>0.75972222222222219</v>
      </c>
      <c r="BU1745" t="s">
        <v>2501</v>
      </c>
      <c r="BV1745" t="s">
        <v>90</v>
      </c>
      <c r="BW1745" t="s">
        <v>136</v>
      </c>
      <c r="BX1745" t="s">
        <v>1222</v>
      </c>
      <c r="BY1745">
        <v>1200</v>
      </c>
      <c r="CA1745" t="s">
        <v>157</v>
      </c>
      <c r="CC1745" t="s">
        <v>122</v>
      </c>
      <c r="CD1745">
        <v>4060</v>
      </c>
      <c r="CE1745" t="s">
        <v>147</v>
      </c>
      <c r="CF1745" s="3">
        <v>45947</v>
      </c>
      <c r="CI1745">
        <v>1</v>
      </c>
      <c r="CJ1745">
        <v>1</v>
      </c>
      <c r="CK1745">
        <v>21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"080068557021"</f>
        <v>080068557021</v>
      </c>
      <c r="F1746" s="3">
        <v>45946</v>
      </c>
      <c r="G1746">
        <v>202607</v>
      </c>
      <c r="H1746" t="s">
        <v>79</v>
      </c>
      <c r="I1746" t="s">
        <v>80</v>
      </c>
      <c r="J1746" t="s">
        <v>91</v>
      </c>
      <c r="K1746" t="s">
        <v>78</v>
      </c>
      <c r="L1746" t="s">
        <v>322</v>
      </c>
      <c r="M1746" t="s">
        <v>322</v>
      </c>
      <c r="N1746" t="s">
        <v>481</v>
      </c>
      <c r="O1746" t="s">
        <v>82</v>
      </c>
      <c r="P1746" t="str">
        <f>"4170064628                    "</f>
        <v xml:space="preserve">4170064628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43.31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0.7</v>
      </c>
      <c r="BK1746">
        <v>1</v>
      </c>
      <c r="BL1746">
        <v>137.47</v>
      </c>
      <c r="BM1746">
        <v>20.62</v>
      </c>
      <c r="BN1746">
        <v>158.09</v>
      </c>
      <c r="BO1746">
        <v>158.09</v>
      </c>
      <c r="BQ1746" t="s">
        <v>482</v>
      </c>
      <c r="BR1746" t="s">
        <v>97</v>
      </c>
      <c r="BS1746" s="3">
        <v>45947</v>
      </c>
      <c r="BT1746" s="4">
        <v>0.54166666666666663</v>
      </c>
      <c r="BU1746" t="s">
        <v>1402</v>
      </c>
      <c r="BV1746" t="s">
        <v>86</v>
      </c>
      <c r="BY1746">
        <v>3306</v>
      </c>
      <c r="CA1746" t="s">
        <v>326</v>
      </c>
      <c r="CC1746" t="s">
        <v>322</v>
      </c>
      <c r="CD1746">
        <v>7646</v>
      </c>
      <c r="CE1746" t="s">
        <v>191</v>
      </c>
      <c r="CF1746" s="3">
        <v>45950</v>
      </c>
      <c r="CI1746">
        <v>1</v>
      </c>
      <c r="CJ1746">
        <v>1</v>
      </c>
      <c r="CK1746">
        <v>23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"080068557076"</f>
        <v>080068557076</v>
      </c>
      <c r="F1747" s="3">
        <v>45946</v>
      </c>
      <c r="G1747">
        <v>202607</v>
      </c>
      <c r="H1747" t="s">
        <v>79</v>
      </c>
      <c r="I1747" t="s">
        <v>80</v>
      </c>
      <c r="J1747" t="s">
        <v>91</v>
      </c>
      <c r="K1747" t="s">
        <v>78</v>
      </c>
      <c r="L1747" t="s">
        <v>446</v>
      </c>
      <c r="M1747" t="s">
        <v>447</v>
      </c>
      <c r="N1747" t="s">
        <v>1631</v>
      </c>
      <c r="O1747" t="s">
        <v>82</v>
      </c>
      <c r="P1747" t="str">
        <f>"4170064550                    "</f>
        <v xml:space="preserve">4170064550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43.31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137.47</v>
      </c>
      <c r="BM1747">
        <v>20.62</v>
      </c>
      <c r="BN1747">
        <v>158.09</v>
      </c>
      <c r="BO1747">
        <v>158.09</v>
      </c>
      <c r="BQ1747" t="s">
        <v>1632</v>
      </c>
      <c r="BR1747" t="s">
        <v>97</v>
      </c>
      <c r="BS1747" s="3">
        <v>45947</v>
      </c>
      <c r="BT1747" s="4">
        <v>0.49236111111111114</v>
      </c>
      <c r="BU1747" t="s">
        <v>2502</v>
      </c>
      <c r="BV1747" t="s">
        <v>86</v>
      </c>
      <c r="BY1747">
        <v>1200</v>
      </c>
      <c r="CA1747" t="s">
        <v>1124</v>
      </c>
      <c r="CC1747" t="s">
        <v>447</v>
      </c>
      <c r="CD1747">
        <v>7130</v>
      </c>
      <c r="CE1747" t="s">
        <v>147</v>
      </c>
      <c r="CF1747" s="3">
        <v>45950</v>
      </c>
      <c r="CI1747">
        <v>1</v>
      </c>
      <c r="CJ1747">
        <v>1</v>
      </c>
      <c r="CK1747">
        <v>23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"080068557099"</f>
        <v>080068557099</v>
      </c>
      <c r="F1748" s="3">
        <v>45946</v>
      </c>
      <c r="G1748">
        <v>202607</v>
      </c>
      <c r="H1748" t="s">
        <v>79</v>
      </c>
      <c r="I1748" t="s">
        <v>80</v>
      </c>
      <c r="J1748" t="s">
        <v>91</v>
      </c>
      <c r="K1748" t="s">
        <v>78</v>
      </c>
      <c r="L1748" t="s">
        <v>114</v>
      </c>
      <c r="M1748" t="s">
        <v>115</v>
      </c>
      <c r="N1748" t="s">
        <v>774</v>
      </c>
      <c r="O1748" t="s">
        <v>82</v>
      </c>
      <c r="P1748" t="str">
        <f>"4170064601                    "</f>
        <v xml:space="preserve">4170064601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33.520000000000003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3</v>
      </c>
      <c r="BJ1748">
        <v>2</v>
      </c>
      <c r="BK1748">
        <v>3</v>
      </c>
      <c r="BL1748">
        <v>106.4</v>
      </c>
      <c r="BM1748">
        <v>15.96</v>
      </c>
      <c r="BN1748">
        <v>122.36</v>
      </c>
      <c r="BO1748">
        <v>122.36</v>
      </c>
      <c r="BQ1748" t="s">
        <v>775</v>
      </c>
      <c r="BR1748" t="s">
        <v>97</v>
      </c>
      <c r="BS1748" s="3">
        <v>45947</v>
      </c>
      <c r="BT1748" s="4">
        <v>0.66805555555555551</v>
      </c>
      <c r="BU1748" t="s">
        <v>2503</v>
      </c>
      <c r="BV1748" t="s">
        <v>86</v>
      </c>
      <c r="BY1748">
        <v>10200</v>
      </c>
      <c r="CA1748" t="s">
        <v>119</v>
      </c>
      <c r="CC1748" t="s">
        <v>115</v>
      </c>
      <c r="CD1748">
        <v>5201</v>
      </c>
      <c r="CE1748" t="s">
        <v>191</v>
      </c>
      <c r="CF1748" s="3">
        <v>45947</v>
      </c>
      <c r="CI1748">
        <v>5</v>
      </c>
      <c r="CJ1748">
        <v>1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"080068557104"</f>
        <v>080068557104</v>
      </c>
      <c r="F1749" s="3">
        <v>45946</v>
      </c>
      <c r="G1749">
        <v>202607</v>
      </c>
      <c r="H1749" t="s">
        <v>79</v>
      </c>
      <c r="I1749" t="s">
        <v>80</v>
      </c>
      <c r="J1749" t="s">
        <v>91</v>
      </c>
      <c r="K1749" t="s">
        <v>78</v>
      </c>
      <c r="L1749" t="s">
        <v>121</v>
      </c>
      <c r="M1749" t="s">
        <v>122</v>
      </c>
      <c r="N1749" t="s">
        <v>2504</v>
      </c>
      <c r="O1749" t="s">
        <v>82</v>
      </c>
      <c r="P1749" t="str">
        <f>"4170064544                    "</f>
        <v xml:space="preserve">4170064544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22.36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70.959999999999994</v>
      </c>
      <c r="BM1749">
        <v>10.64</v>
      </c>
      <c r="BN1749">
        <v>81.599999999999994</v>
      </c>
      <c r="BO1749">
        <v>81.599999999999994</v>
      </c>
      <c r="BQ1749" t="s">
        <v>708</v>
      </c>
      <c r="BR1749" t="s">
        <v>97</v>
      </c>
      <c r="BS1749" s="3">
        <v>45947</v>
      </c>
      <c r="BT1749" s="4">
        <v>0.40972222222222221</v>
      </c>
      <c r="BU1749" t="s">
        <v>2505</v>
      </c>
      <c r="BV1749" t="s">
        <v>86</v>
      </c>
      <c r="BY1749">
        <v>1200</v>
      </c>
      <c r="CA1749" t="s">
        <v>321</v>
      </c>
      <c r="CC1749" t="s">
        <v>122</v>
      </c>
      <c r="CD1749">
        <v>4000</v>
      </c>
      <c r="CE1749" t="s">
        <v>147</v>
      </c>
      <c r="CF1749" s="3">
        <v>45947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"080068557132"</f>
        <v>080068557132</v>
      </c>
      <c r="F1750" s="3">
        <v>45946</v>
      </c>
      <c r="G1750">
        <v>202607</v>
      </c>
      <c r="H1750" t="s">
        <v>79</v>
      </c>
      <c r="I1750" t="s">
        <v>80</v>
      </c>
      <c r="J1750" t="s">
        <v>91</v>
      </c>
      <c r="K1750" t="s">
        <v>78</v>
      </c>
      <c r="L1750" t="s">
        <v>195</v>
      </c>
      <c r="M1750" t="s">
        <v>196</v>
      </c>
      <c r="N1750" t="s">
        <v>2022</v>
      </c>
      <c r="O1750" t="s">
        <v>82</v>
      </c>
      <c r="P1750" t="str">
        <f>"4170064529                    "</f>
        <v xml:space="preserve">4170064529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43.31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137.47</v>
      </c>
      <c r="BM1750">
        <v>20.62</v>
      </c>
      <c r="BN1750">
        <v>158.09</v>
      </c>
      <c r="BO1750">
        <v>158.09</v>
      </c>
      <c r="BQ1750" t="s">
        <v>2023</v>
      </c>
      <c r="BR1750" t="s">
        <v>97</v>
      </c>
      <c r="BS1750" s="3">
        <v>45947</v>
      </c>
      <c r="BT1750" s="4">
        <v>0.34166666666666667</v>
      </c>
      <c r="BU1750" t="s">
        <v>2506</v>
      </c>
      <c r="BV1750" t="s">
        <v>86</v>
      </c>
      <c r="BY1750">
        <v>1200</v>
      </c>
      <c r="CA1750" t="s">
        <v>2507</v>
      </c>
      <c r="CC1750" t="s">
        <v>196</v>
      </c>
      <c r="CD1750">
        <v>1939</v>
      </c>
      <c r="CE1750" t="s">
        <v>147</v>
      </c>
      <c r="CF1750" s="3">
        <v>45947</v>
      </c>
      <c r="CI1750">
        <v>1</v>
      </c>
      <c r="CJ1750">
        <v>1</v>
      </c>
      <c r="CK1750">
        <v>23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"080068557143"</f>
        <v>080068557143</v>
      </c>
      <c r="F1751" s="3">
        <v>45946</v>
      </c>
      <c r="G1751">
        <v>202607</v>
      </c>
      <c r="H1751" t="s">
        <v>79</v>
      </c>
      <c r="I1751" t="s">
        <v>80</v>
      </c>
      <c r="J1751" t="s">
        <v>91</v>
      </c>
      <c r="K1751" t="s">
        <v>78</v>
      </c>
      <c r="L1751" t="s">
        <v>92</v>
      </c>
      <c r="M1751" t="s">
        <v>93</v>
      </c>
      <c r="N1751" t="s">
        <v>597</v>
      </c>
      <c r="O1751" t="s">
        <v>82</v>
      </c>
      <c r="P1751" t="str">
        <f>"4170064604                    "</f>
        <v xml:space="preserve">4170064604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33.520000000000003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3</v>
      </c>
      <c r="BJ1751">
        <v>2</v>
      </c>
      <c r="BK1751">
        <v>3</v>
      </c>
      <c r="BL1751">
        <v>106.4</v>
      </c>
      <c r="BM1751">
        <v>15.96</v>
      </c>
      <c r="BN1751">
        <v>122.36</v>
      </c>
      <c r="BO1751">
        <v>122.36</v>
      </c>
      <c r="BQ1751" t="s">
        <v>598</v>
      </c>
      <c r="BR1751" t="s">
        <v>97</v>
      </c>
      <c r="BS1751" s="3">
        <v>45947</v>
      </c>
      <c r="BT1751" s="4">
        <v>0.44236111111111109</v>
      </c>
      <c r="BU1751" t="s">
        <v>599</v>
      </c>
      <c r="BV1751" t="s">
        <v>86</v>
      </c>
      <c r="BY1751">
        <v>10200</v>
      </c>
      <c r="CA1751" t="s">
        <v>600</v>
      </c>
      <c r="CC1751" t="s">
        <v>93</v>
      </c>
      <c r="CD1751">
        <v>3201</v>
      </c>
      <c r="CE1751" t="s">
        <v>191</v>
      </c>
      <c r="CF1751" s="3">
        <v>45948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"080068557161"</f>
        <v>080068557161</v>
      </c>
      <c r="F1752" s="3">
        <v>45946</v>
      </c>
      <c r="G1752">
        <v>202607</v>
      </c>
      <c r="H1752" t="s">
        <v>79</v>
      </c>
      <c r="I1752" t="s">
        <v>80</v>
      </c>
      <c r="J1752" t="s">
        <v>91</v>
      </c>
      <c r="K1752" t="s">
        <v>78</v>
      </c>
      <c r="L1752" t="s">
        <v>446</v>
      </c>
      <c r="M1752" t="s">
        <v>447</v>
      </c>
      <c r="N1752" t="s">
        <v>1631</v>
      </c>
      <c r="O1752" t="s">
        <v>82</v>
      </c>
      <c r="P1752" t="str">
        <f>"4170064613                    "</f>
        <v xml:space="preserve">4170064613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43.31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137.47</v>
      </c>
      <c r="BM1752">
        <v>20.62</v>
      </c>
      <c r="BN1752">
        <v>158.09</v>
      </c>
      <c r="BO1752">
        <v>158.09</v>
      </c>
      <c r="BQ1752" t="s">
        <v>1632</v>
      </c>
      <c r="BR1752" t="s">
        <v>97</v>
      </c>
      <c r="BS1752" s="3">
        <v>45947</v>
      </c>
      <c r="BT1752" s="4">
        <v>0.49236111111111114</v>
      </c>
      <c r="BU1752" t="s">
        <v>2502</v>
      </c>
      <c r="BV1752" t="s">
        <v>86</v>
      </c>
      <c r="BY1752">
        <v>1200</v>
      </c>
      <c r="CA1752" t="s">
        <v>1124</v>
      </c>
      <c r="CC1752" t="s">
        <v>447</v>
      </c>
      <c r="CD1752">
        <v>7130</v>
      </c>
      <c r="CE1752" t="s">
        <v>147</v>
      </c>
      <c r="CF1752" s="3">
        <v>45950</v>
      </c>
      <c r="CI1752">
        <v>1</v>
      </c>
      <c r="CJ1752">
        <v>1</v>
      </c>
      <c r="CK1752">
        <v>23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"080068557186"</f>
        <v>080068557186</v>
      </c>
      <c r="F1753" s="3">
        <v>45946</v>
      </c>
      <c r="G1753">
        <v>202607</v>
      </c>
      <c r="H1753" t="s">
        <v>79</v>
      </c>
      <c r="I1753" t="s">
        <v>80</v>
      </c>
      <c r="J1753" t="s">
        <v>91</v>
      </c>
      <c r="K1753" t="s">
        <v>78</v>
      </c>
      <c r="L1753" t="s">
        <v>206</v>
      </c>
      <c r="M1753" t="s">
        <v>207</v>
      </c>
      <c r="N1753" t="s">
        <v>2508</v>
      </c>
      <c r="O1753" t="s">
        <v>82</v>
      </c>
      <c r="P1753" t="str">
        <f>"4170064630                    "</f>
        <v xml:space="preserve">4170064630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22.36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70.959999999999994</v>
      </c>
      <c r="BM1753">
        <v>10.64</v>
      </c>
      <c r="BN1753">
        <v>81.599999999999994</v>
      </c>
      <c r="BO1753">
        <v>81.599999999999994</v>
      </c>
      <c r="BQ1753" t="s">
        <v>2509</v>
      </c>
      <c r="BR1753" t="s">
        <v>97</v>
      </c>
      <c r="BS1753" s="3">
        <v>45947</v>
      </c>
      <c r="BT1753" s="4">
        <v>0.43402777777777779</v>
      </c>
      <c r="BU1753" t="s">
        <v>2510</v>
      </c>
      <c r="BV1753" t="s">
        <v>86</v>
      </c>
      <c r="BY1753">
        <v>1200</v>
      </c>
      <c r="CC1753" t="s">
        <v>207</v>
      </c>
      <c r="CD1753">
        <v>7490</v>
      </c>
      <c r="CE1753" t="s">
        <v>147</v>
      </c>
      <c r="CF1753" s="3">
        <v>45950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"080068557209"</f>
        <v>080068557209</v>
      </c>
      <c r="F1754" s="3">
        <v>45946</v>
      </c>
      <c r="G1754">
        <v>202607</v>
      </c>
      <c r="H1754" t="s">
        <v>79</v>
      </c>
      <c r="I1754" t="s">
        <v>80</v>
      </c>
      <c r="J1754" t="s">
        <v>91</v>
      </c>
      <c r="K1754" t="s">
        <v>78</v>
      </c>
      <c r="L1754" t="s">
        <v>265</v>
      </c>
      <c r="M1754" t="s">
        <v>266</v>
      </c>
      <c r="N1754" t="s">
        <v>267</v>
      </c>
      <c r="O1754" t="s">
        <v>82</v>
      </c>
      <c r="P1754" t="str">
        <f>"4170064629                    "</f>
        <v xml:space="preserve">4170064629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22.36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70.959999999999994</v>
      </c>
      <c r="BM1754">
        <v>10.64</v>
      </c>
      <c r="BN1754">
        <v>81.599999999999994</v>
      </c>
      <c r="BO1754">
        <v>81.599999999999994</v>
      </c>
      <c r="BQ1754" t="s">
        <v>268</v>
      </c>
      <c r="BR1754" t="s">
        <v>97</v>
      </c>
      <c r="BS1754" s="3">
        <v>45947</v>
      </c>
      <c r="BT1754" s="4">
        <v>0.40694444444444444</v>
      </c>
      <c r="BU1754" t="s">
        <v>2511</v>
      </c>
      <c r="BV1754" t="s">
        <v>86</v>
      </c>
      <c r="BY1754">
        <v>1200</v>
      </c>
      <c r="CA1754" t="s">
        <v>818</v>
      </c>
      <c r="CC1754" t="s">
        <v>266</v>
      </c>
      <c r="CD1754">
        <v>6230</v>
      </c>
      <c r="CE1754" t="s">
        <v>147</v>
      </c>
      <c r="CF1754" s="3">
        <v>45947</v>
      </c>
      <c r="CI1754">
        <v>1</v>
      </c>
      <c r="CJ1754">
        <v>1</v>
      </c>
      <c r="CK1754">
        <v>21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"080068557235"</f>
        <v>080068557235</v>
      </c>
      <c r="F1755" s="3">
        <v>45946</v>
      </c>
      <c r="G1755">
        <v>202607</v>
      </c>
      <c r="H1755" t="s">
        <v>79</v>
      </c>
      <c r="I1755" t="s">
        <v>80</v>
      </c>
      <c r="J1755" t="s">
        <v>91</v>
      </c>
      <c r="K1755" t="s">
        <v>78</v>
      </c>
      <c r="L1755" t="s">
        <v>114</v>
      </c>
      <c r="M1755" t="s">
        <v>115</v>
      </c>
      <c r="N1755" t="s">
        <v>116</v>
      </c>
      <c r="O1755" t="s">
        <v>82</v>
      </c>
      <c r="P1755" t="str">
        <f>"4170064512                    "</f>
        <v xml:space="preserve">4170064512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22.36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70.959999999999994</v>
      </c>
      <c r="BM1755">
        <v>10.64</v>
      </c>
      <c r="BN1755">
        <v>81.599999999999994</v>
      </c>
      <c r="BO1755">
        <v>81.599999999999994</v>
      </c>
      <c r="BQ1755" t="s">
        <v>117</v>
      </c>
      <c r="BR1755" t="s">
        <v>97</v>
      </c>
      <c r="BS1755" s="3">
        <v>45947</v>
      </c>
      <c r="BT1755" s="4">
        <v>0.65347222222222223</v>
      </c>
      <c r="BU1755" t="s">
        <v>118</v>
      </c>
      <c r="BV1755" t="s">
        <v>86</v>
      </c>
      <c r="BY1755">
        <v>1200</v>
      </c>
      <c r="CA1755" t="s">
        <v>119</v>
      </c>
      <c r="CC1755" t="s">
        <v>115</v>
      </c>
      <c r="CD1755">
        <v>5201</v>
      </c>
      <c r="CE1755" t="s">
        <v>147</v>
      </c>
      <c r="CF1755" s="3">
        <v>45947</v>
      </c>
      <c r="CI1755">
        <v>5</v>
      </c>
      <c r="CJ1755">
        <v>1</v>
      </c>
      <c r="CK1755">
        <v>21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"080068557251"</f>
        <v>080068557251</v>
      </c>
      <c r="F1756" s="3">
        <v>45946</v>
      </c>
      <c r="G1756">
        <v>202607</v>
      </c>
      <c r="H1756" t="s">
        <v>79</v>
      </c>
      <c r="I1756" t="s">
        <v>80</v>
      </c>
      <c r="J1756" t="s">
        <v>91</v>
      </c>
      <c r="K1756" t="s">
        <v>78</v>
      </c>
      <c r="L1756" t="s">
        <v>206</v>
      </c>
      <c r="M1756" t="s">
        <v>207</v>
      </c>
      <c r="N1756" t="s">
        <v>335</v>
      </c>
      <c r="O1756" t="s">
        <v>82</v>
      </c>
      <c r="P1756" t="str">
        <f>"4170064517                    "</f>
        <v xml:space="preserve">4170064517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22.36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70.959999999999994</v>
      </c>
      <c r="BM1756">
        <v>10.64</v>
      </c>
      <c r="BN1756">
        <v>81.599999999999994</v>
      </c>
      <c r="BO1756">
        <v>81.599999999999994</v>
      </c>
      <c r="BQ1756" t="s">
        <v>475</v>
      </c>
      <c r="BR1756" t="s">
        <v>97</v>
      </c>
      <c r="BS1756" s="3">
        <v>45947</v>
      </c>
      <c r="BT1756" s="4">
        <v>0.43680555555555556</v>
      </c>
      <c r="BU1756" t="s">
        <v>2512</v>
      </c>
      <c r="BV1756" t="s">
        <v>86</v>
      </c>
      <c r="BY1756">
        <v>1200</v>
      </c>
      <c r="CA1756" t="s">
        <v>2513</v>
      </c>
      <c r="CC1756" t="s">
        <v>207</v>
      </c>
      <c r="CD1756">
        <v>7700</v>
      </c>
      <c r="CE1756" t="s">
        <v>147</v>
      </c>
      <c r="CF1756" s="3">
        <v>45950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"080068557278"</f>
        <v>080068557278</v>
      </c>
      <c r="F1757" s="3">
        <v>45946</v>
      </c>
      <c r="G1757">
        <v>202607</v>
      </c>
      <c r="H1757" t="s">
        <v>79</v>
      </c>
      <c r="I1757" t="s">
        <v>80</v>
      </c>
      <c r="J1757" t="s">
        <v>91</v>
      </c>
      <c r="K1757" t="s">
        <v>78</v>
      </c>
      <c r="L1757" t="s">
        <v>206</v>
      </c>
      <c r="M1757" t="s">
        <v>207</v>
      </c>
      <c r="N1757" t="s">
        <v>412</v>
      </c>
      <c r="O1757" t="s">
        <v>82</v>
      </c>
      <c r="P1757" t="str">
        <f>"4170064599                    "</f>
        <v xml:space="preserve">4170064599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22.36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1.7</v>
      </c>
      <c r="BK1757">
        <v>2</v>
      </c>
      <c r="BL1757">
        <v>70.959999999999994</v>
      </c>
      <c r="BM1757">
        <v>10.64</v>
      </c>
      <c r="BN1757">
        <v>81.599999999999994</v>
      </c>
      <c r="BO1757">
        <v>81.599999999999994</v>
      </c>
      <c r="BQ1757" t="s">
        <v>413</v>
      </c>
      <c r="BR1757" t="s">
        <v>97</v>
      </c>
      <c r="BS1757" s="3">
        <v>45947</v>
      </c>
      <c r="BT1757" s="4">
        <v>0.3347222222222222</v>
      </c>
      <c r="BU1757" t="s">
        <v>414</v>
      </c>
      <c r="BV1757" t="s">
        <v>86</v>
      </c>
      <c r="BY1757">
        <v>8700</v>
      </c>
      <c r="CA1757" t="s">
        <v>415</v>
      </c>
      <c r="CC1757" t="s">
        <v>207</v>
      </c>
      <c r="CD1757">
        <v>7493</v>
      </c>
      <c r="CE1757" t="s">
        <v>191</v>
      </c>
      <c r="CF1757" s="3">
        <v>45950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"080068557294"</f>
        <v>080068557294</v>
      </c>
      <c r="F1758" s="3">
        <v>45946</v>
      </c>
      <c r="G1758">
        <v>202607</v>
      </c>
      <c r="H1758" t="s">
        <v>79</v>
      </c>
      <c r="I1758" t="s">
        <v>80</v>
      </c>
      <c r="J1758" t="s">
        <v>91</v>
      </c>
      <c r="K1758" t="s">
        <v>78</v>
      </c>
      <c r="L1758" t="s">
        <v>306</v>
      </c>
      <c r="M1758" t="s">
        <v>307</v>
      </c>
      <c r="N1758" t="s">
        <v>335</v>
      </c>
      <c r="O1758" t="s">
        <v>82</v>
      </c>
      <c r="P1758" t="str">
        <f>"4170064627                    "</f>
        <v xml:space="preserve">4170064627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22.36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70.959999999999994</v>
      </c>
      <c r="BM1758">
        <v>10.64</v>
      </c>
      <c r="BN1758">
        <v>81.599999999999994</v>
      </c>
      <c r="BO1758">
        <v>81.599999999999994</v>
      </c>
      <c r="BQ1758" t="s">
        <v>475</v>
      </c>
      <c r="BR1758" t="s">
        <v>97</v>
      </c>
      <c r="BS1758" s="3">
        <v>45947</v>
      </c>
      <c r="BT1758" s="4">
        <v>0.59027777777777779</v>
      </c>
      <c r="BU1758" t="s">
        <v>1436</v>
      </c>
      <c r="BV1758" t="s">
        <v>90</v>
      </c>
      <c r="BW1758" t="s">
        <v>136</v>
      </c>
      <c r="BX1758" t="s">
        <v>1222</v>
      </c>
      <c r="BY1758">
        <v>1200</v>
      </c>
      <c r="CA1758" t="s">
        <v>157</v>
      </c>
      <c r="CC1758" t="s">
        <v>307</v>
      </c>
      <c r="CD1758">
        <v>4133</v>
      </c>
      <c r="CE1758" t="s">
        <v>147</v>
      </c>
      <c r="CF1758" s="3">
        <v>45947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"080068557308"</f>
        <v>080068557308</v>
      </c>
      <c r="F1759" s="3">
        <v>45946</v>
      </c>
      <c r="G1759">
        <v>202607</v>
      </c>
      <c r="H1759" t="s">
        <v>79</v>
      </c>
      <c r="I1759" t="s">
        <v>80</v>
      </c>
      <c r="J1759" t="s">
        <v>91</v>
      </c>
      <c r="K1759" t="s">
        <v>78</v>
      </c>
      <c r="L1759" t="s">
        <v>75</v>
      </c>
      <c r="M1759" t="s">
        <v>76</v>
      </c>
      <c r="N1759" t="s">
        <v>2177</v>
      </c>
      <c r="O1759" t="s">
        <v>82</v>
      </c>
      <c r="P1759" t="str">
        <f>"4170064619                    "</f>
        <v xml:space="preserve">4170064619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17.46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55.42</v>
      </c>
      <c r="BM1759">
        <v>8.31</v>
      </c>
      <c r="BN1759">
        <v>63.73</v>
      </c>
      <c r="BO1759">
        <v>63.73</v>
      </c>
      <c r="BQ1759" t="s">
        <v>2178</v>
      </c>
      <c r="BR1759" t="s">
        <v>97</v>
      </c>
      <c r="BS1759" s="3">
        <v>45947</v>
      </c>
      <c r="BT1759" s="4">
        <v>0.40833333333333333</v>
      </c>
      <c r="BU1759" t="s">
        <v>2514</v>
      </c>
      <c r="BV1759" t="s">
        <v>86</v>
      </c>
      <c r="BY1759">
        <v>1200</v>
      </c>
      <c r="CA1759" t="s">
        <v>1503</v>
      </c>
      <c r="CC1759" t="s">
        <v>76</v>
      </c>
      <c r="CD1759">
        <v>2163</v>
      </c>
      <c r="CE1759" t="s">
        <v>147</v>
      </c>
      <c r="CF1759" s="3">
        <v>45947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"080068557328"</f>
        <v>080068557328</v>
      </c>
      <c r="F1760" s="3">
        <v>45946</v>
      </c>
      <c r="G1760">
        <v>202607</v>
      </c>
      <c r="H1760" t="s">
        <v>79</v>
      </c>
      <c r="I1760" t="s">
        <v>80</v>
      </c>
      <c r="J1760" t="s">
        <v>91</v>
      </c>
      <c r="K1760" t="s">
        <v>78</v>
      </c>
      <c r="L1760" t="s">
        <v>306</v>
      </c>
      <c r="M1760" t="s">
        <v>307</v>
      </c>
      <c r="N1760" t="s">
        <v>335</v>
      </c>
      <c r="O1760" t="s">
        <v>82</v>
      </c>
      <c r="P1760" t="str">
        <f>"4170064626                    "</f>
        <v xml:space="preserve">4170064626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22.36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70.959999999999994</v>
      </c>
      <c r="BM1760">
        <v>10.64</v>
      </c>
      <c r="BN1760">
        <v>81.599999999999994</v>
      </c>
      <c r="BO1760">
        <v>81.599999999999994</v>
      </c>
      <c r="BQ1760" t="s">
        <v>475</v>
      </c>
      <c r="BR1760" t="s">
        <v>97</v>
      </c>
      <c r="BS1760" s="3">
        <v>45947</v>
      </c>
      <c r="BT1760" s="4">
        <v>0.7631944444444444</v>
      </c>
      <c r="BU1760" t="s">
        <v>1436</v>
      </c>
      <c r="BV1760" t="s">
        <v>90</v>
      </c>
      <c r="BW1760" t="s">
        <v>136</v>
      </c>
      <c r="BX1760" t="s">
        <v>1222</v>
      </c>
      <c r="BY1760">
        <v>1200</v>
      </c>
      <c r="CA1760" t="s">
        <v>157</v>
      </c>
      <c r="CC1760" t="s">
        <v>307</v>
      </c>
      <c r="CD1760">
        <v>4133</v>
      </c>
      <c r="CE1760" t="s">
        <v>147</v>
      </c>
      <c r="CF1760" s="3">
        <v>45950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"080068557347"</f>
        <v>080068557347</v>
      </c>
      <c r="F1761" s="3">
        <v>45946</v>
      </c>
      <c r="G1761">
        <v>202607</v>
      </c>
      <c r="H1761" t="s">
        <v>79</v>
      </c>
      <c r="I1761" t="s">
        <v>80</v>
      </c>
      <c r="J1761" t="s">
        <v>91</v>
      </c>
      <c r="K1761" t="s">
        <v>78</v>
      </c>
      <c r="L1761" t="s">
        <v>350</v>
      </c>
      <c r="M1761" t="s">
        <v>351</v>
      </c>
      <c r="N1761" t="s">
        <v>1908</v>
      </c>
      <c r="O1761" t="s">
        <v>82</v>
      </c>
      <c r="P1761" t="str">
        <f>"4170064606                    "</f>
        <v xml:space="preserve">4170064606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43.31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137.47</v>
      </c>
      <c r="BM1761">
        <v>20.62</v>
      </c>
      <c r="BN1761">
        <v>158.09</v>
      </c>
      <c r="BO1761">
        <v>158.09</v>
      </c>
      <c r="BQ1761" t="s">
        <v>1909</v>
      </c>
      <c r="BR1761" t="s">
        <v>97</v>
      </c>
      <c r="BS1761" s="3">
        <v>45947</v>
      </c>
      <c r="BT1761" s="4">
        <v>0.4236111111111111</v>
      </c>
      <c r="BU1761" t="s">
        <v>2515</v>
      </c>
      <c r="BV1761" t="s">
        <v>86</v>
      </c>
      <c r="BY1761">
        <v>1200</v>
      </c>
      <c r="CA1761" t="s">
        <v>355</v>
      </c>
      <c r="CC1761" t="s">
        <v>351</v>
      </c>
      <c r="CD1761" s="5" t="s">
        <v>1911</v>
      </c>
      <c r="CE1761" t="s">
        <v>147</v>
      </c>
      <c r="CF1761" s="3">
        <v>45950</v>
      </c>
      <c r="CI1761">
        <v>1</v>
      </c>
      <c r="CJ1761">
        <v>1</v>
      </c>
      <c r="CK1761">
        <v>23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"080068557367"</f>
        <v>080068557367</v>
      </c>
      <c r="F1762" s="3">
        <v>45946</v>
      </c>
      <c r="G1762">
        <v>202607</v>
      </c>
      <c r="H1762" t="s">
        <v>79</v>
      </c>
      <c r="I1762" t="s">
        <v>80</v>
      </c>
      <c r="J1762" t="s">
        <v>91</v>
      </c>
      <c r="K1762" t="s">
        <v>78</v>
      </c>
      <c r="L1762" t="s">
        <v>92</v>
      </c>
      <c r="M1762" t="s">
        <v>93</v>
      </c>
      <c r="N1762" t="s">
        <v>552</v>
      </c>
      <c r="O1762" t="s">
        <v>82</v>
      </c>
      <c r="P1762" t="str">
        <f>"4170064539                    "</f>
        <v xml:space="preserve">4170064539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22.36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70.959999999999994</v>
      </c>
      <c r="BM1762">
        <v>10.64</v>
      </c>
      <c r="BN1762">
        <v>81.599999999999994</v>
      </c>
      <c r="BO1762">
        <v>81.599999999999994</v>
      </c>
      <c r="BQ1762" t="s">
        <v>553</v>
      </c>
      <c r="BR1762" t="s">
        <v>97</v>
      </c>
      <c r="BS1762" s="3">
        <v>45947</v>
      </c>
      <c r="BT1762" s="4">
        <v>0.40902777777777777</v>
      </c>
      <c r="BU1762" t="s">
        <v>2516</v>
      </c>
      <c r="BV1762" t="s">
        <v>86</v>
      </c>
      <c r="BY1762">
        <v>1200</v>
      </c>
      <c r="CA1762" t="s">
        <v>1141</v>
      </c>
      <c r="CC1762" t="s">
        <v>93</v>
      </c>
      <c r="CD1762">
        <v>3201</v>
      </c>
      <c r="CE1762" t="s">
        <v>147</v>
      </c>
      <c r="CF1762" s="3">
        <v>45947</v>
      </c>
      <c r="CI1762">
        <v>1</v>
      </c>
      <c r="CJ1762">
        <v>1</v>
      </c>
      <c r="CK1762">
        <v>21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"080068557464"</f>
        <v>080068557464</v>
      </c>
      <c r="F1763" s="3">
        <v>45946</v>
      </c>
      <c r="G1763">
        <v>202607</v>
      </c>
      <c r="H1763" t="s">
        <v>79</v>
      </c>
      <c r="I1763" t="s">
        <v>80</v>
      </c>
      <c r="J1763" t="s">
        <v>91</v>
      </c>
      <c r="K1763" t="s">
        <v>78</v>
      </c>
      <c r="L1763" t="s">
        <v>446</v>
      </c>
      <c r="M1763" t="s">
        <v>447</v>
      </c>
      <c r="N1763" t="s">
        <v>1631</v>
      </c>
      <c r="O1763" t="s">
        <v>82</v>
      </c>
      <c r="P1763" t="str">
        <f>"4170064598                    "</f>
        <v xml:space="preserve">4170064598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72.650000000000006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3</v>
      </c>
      <c r="BJ1763">
        <v>3.1</v>
      </c>
      <c r="BK1763">
        <v>3.5</v>
      </c>
      <c r="BL1763">
        <v>230.59</v>
      </c>
      <c r="BM1763">
        <v>34.590000000000003</v>
      </c>
      <c r="BN1763">
        <v>265.18</v>
      </c>
      <c r="BO1763">
        <v>265.18</v>
      </c>
      <c r="BQ1763" t="s">
        <v>1632</v>
      </c>
      <c r="BR1763" t="s">
        <v>97</v>
      </c>
      <c r="BS1763" s="3">
        <v>45947</v>
      </c>
      <c r="BT1763" s="4">
        <v>0.49236111111111114</v>
      </c>
      <c r="BU1763" t="s">
        <v>2502</v>
      </c>
      <c r="BV1763" t="s">
        <v>86</v>
      </c>
      <c r="BY1763">
        <v>15600</v>
      </c>
      <c r="CA1763" t="s">
        <v>1124</v>
      </c>
      <c r="CC1763" t="s">
        <v>447</v>
      </c>
      <c r="CD1763">
        <v>7130</v>
      </c>
      <c r="CE1763" t="s">
        <v>191</v>
      </c>
      <c r="CF1763" s="3">
        <v>45950</v>
      </c>
      <c r="CI1763">
        <v>1</v>
      </c>
      <c r="CJ1763">
        <v>1</v>
      </c>
      <c r="CK1763">
        <v>23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"080068557495"</f>
        <v>080068557495</v>
      </c>
      <c r="F1764" s="3">
        <v>45946</v>
      </c>
      <c r="G1764">
        <v>202607</v>
      </c>
      <c r="H1764" t="s">
        <v>79</v>
      </c>
      <c r="I1764" t="s">
        <v>80</v>
      </c>
      <c r="J1764" t="s">
        <v>91</v>
      </c>
      <c r="K1764" t="s">
        <v>78</v>
      </c>
      <c r="L1764" t="s">
        <v>148</v>
      </c>
      <c r="M1764" t="s">
        <v>149</v>
      </c>
      <c r="N1764" t="s">
        <v>465</v>
      </c>
      <c r="O1764" t="s">
        <v>82</v>
      </c>
      <c r="P1764" t="str">
        <f>"4170064535                    "</f>
        <v xml:space="preserve">4170064535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17.46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55.42</v>
      </c>
      <c r="BM1764">
        <v>8.31</v>
      </c>
      <c r="BN1764">
        <v>63.73</v>
      </c>
      <c r="BO1764">
        <v>63.73</v>
      </c>
      <c r="BQ1764" t="s">
        <v>466</v>
      </c>
      <c r="BR1764" t="s">
        <v>97</v>
      </c>
      <c r="BS1764" s="3">
        <v>45947</v>
      </c>
      <c r="BT1764" s="4">
        <v>0.36805555555555558</v>
      </c>
      <c r="BU1764" t="s">
        <v>1658</v>
      </c>
      <c r="BV1764" t="s">
        <v>86</v>
      </c>
      <c r="BY1764">
        <v>1200</v>
      </c>
      <c r="CA1764" t="s">
        <v>519</v>
      </c>
      <c r="CC1764" t="s">
        <v>149</v>
      </c>
      <c r="CD1764">
        <v>2094</v>
      </c>
      <c r="CE1764" t="s">
        <v>147</v>
      </c>
      <c r="CF1764" s="3">
        <v>45947</v>
      </c>
      <c r="CI1764">
        <v>1</v>
      </c>
      <c r="CJ1764">
        <v>1</v>
      </c>
      <c r="CK1764">
        <v>22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"080068557848"</f>
        <v>080068557848</v>
      </c>
      <c r="F1765" s="3">
        <v>45946</v>
      </c>
      <c r="G1765">
        <v>202607</v>
      </c>
      <c r="H1765" t="s">
        <v>79</v>
      </c>
      <c r="I1765" t="s">
        <v>80</v>
      </c>
      <c r="J1765" t="s">
        <v>91</v>
      </c>
      <c r="K1765" t="s">
        <v>78</v>
      </c>
      <c r="L1765" t="s">
        <v>168</v>
      </c>
      <c r="M1765" t="s">
        <v>169</v>
      </c>
      <c r="N1765" t="s">
        <v>297</v>
      </c>
      <c r="O1765" t="s">
        <v>82</v>
      </c>
      <c r="P1765" t="str">
        <f>"4170064566                    "</f>
        <v xml:space="preserve">4170064566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33.520000000000003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3</v>
      </c>
      <c r="BJ1765">
        <v>1.9</v>
      </c>
      <c r="BK1765">
        <v>3</v>
      </c>
      <c r="BL1765">
        <v>106.4</v>
      </c>
      <c r="BM1765">
        <v>15.96</v>
      </c>
      <c r="BN1765">
        <v>122.36</v>
      </c>
      <c r="BO1765">
        <v>122.36</v>
      </c>
      <c r="BQ1765" t="s">
        <v>298</v>
      </c>
      <c r="BR1765" t="s">
        <v>97</v>
      </c>
      <c r="BS1765" s="3">
        <v>45947</v>
      </c>
      <c r="BT1765" s="4">
        <v>0.41666666666666669</v>
      </c>
      <c r="BU1765" t="s">
        <v>2517</v>
      </c>
      <c r="BV1765" t="s">
        <v>86</v>
      </c>
      <c r="BY1765">
        <v>9600</v>
      </c>
      <c r="CA1765">
        <v>8303236124087</v>
      </c>
      <c r="CC1765" t="s">
        <v>169</v>
      </c>
      <c r="CD1765" s="5" t="s">
        <v>190</v>
      </c>
      <c r="CE1765" t="s">
        <v>191</v>
      </c>
      <c r="CF1765" s="3">
        <v>45947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"080068557849"</f>
        <v>080068557849</v>
      </c>
      <c r="F1766" s="3">
        <v>45946</v>
      </c>
      <c r="G1766">
        <v>202607</v>
      </c>
      <c r="H1766" t="s">
        <v>79</v>
      </c>
      <c r="I1766" t="s">
        <v>80</v>
      </c>
      <c r="J1766" t="s">
        <v>91</v>
      </c>
      <c r="K1766" t="s">
        <v>78</v>
      </c>
      <c r="L1766" t="s">
        <v>223</v>
      </c>
      <c r="M1766" t="s">
        <v>224</v>
      </c>
      <c r="N1766" t="s">
        <v>1464</v>
      </c>
      <c r="O1766" t="s">
        <v>82</v>
      </c>
      <c r="P1766" t="str">
        <f>"4170064538                    "</f>
        <v xml:space="preserve">4170064538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17.46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55.42</v>
      </c>
      <c r="BM1766">
        <v>8.31</v>
      </c>
      <c r="BN1766">
        <v>63.73</v>
      </c>
      <c r="BO1766">
        <v>63.73</v>
      </c>
      <c r="BQ1766" t="s">
        <v>1465</v>
      </c>
      <c r="BR1766" t="s">
        <v>97</v>
      </c>
      <c r="BS1766" s="3">
        <v>45947</v>
      </c>
      <c r="BT1766" s="4">
        <v>0.42916666666666664</v>
      </c>
      <c r="BU1766" t="s">
        <v>2518</v>
      </c>
      <c r="BV1766" t="s">
        <v>86</v>
      </c>
      <c r="BY1766">
        <v>1200</v>
      </c>
      <c r="CA1766" t="s">
        <v>1110</v>
      </c>
      <c r="CC1766" t="s">
        <v>224</v>
      </c>
      <c r="CD1766">
        <v>1459</v>
      </c>
      <c r="CE1766" t="s">
        <v>147</v>
      </c>
      <c r="CF1766" s="3">
        <v>45947</v>
      </c>
      <c r="CI1766">
        <v>1</v>
      </c>
      <c r="CJ1766">
        <v>1</v>
      </c>
      <c r="CK1766">
        <v>22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"080068557872"</f>
        <v>080068557872</v>
      </c>
      <c r="F1767" s="3">
        <v>45946</v>
      </c>
      <c r="G1767">
        <v>202607</v>
      </c>
      <c r="H1767" t="s">
        <v>79</v>
      </c>
      <c r="I1767" t="s">
        <v>80</v>
      </c>
      <c r="J1767" t="s">
        <v>91</v>
      </c>
      <c r="K1767" t="s">
        <v>78</v>
      </c>
      <c r="L1767" t="s">
        <v>148</v>
      </c>
      <c r="M1767" t="s">
        <v>149</v>
      </c>
      <c r="N1767" t="s">
        <v>2519</v>
      </c>
      <c r="O1767" t="s">
        <v>82</v>
      </c>
      <c r="P1767" t="str">
        <f>"4170064514                    "</f>
        <v xml:space="preserve">4170064514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17.46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0.7</v>
      </c>
      <c r="BK1767">
        <v>1</v>
      </c>
      <c r="BL1767">
        <v>55.42</v>
      </c>
      <c r="BM1767">
        <v>8.31</v>
      </c>
      <c r="BN1767">
        <v>63.73</v>
      </c>
      <c r="BO1767">
        <v>63.73</v>
      </c>
      <c r="BQ1767" t="s">
        <v>2520</v>
      </c>
      <c r="BR1767" t="s">
        <v>97</v>
      </c>
      <c r="BS1767" s="3">
        <v>45947</v>
      </c>
      <c r="BT1767" s="4">
        <v>0.33611111111111114</v>
      </c>
      <c r="BU1767" t="s">
        <v>2521</v>
      </c>
      <c r="BV1767" t="s">
        <v>86</v>
      </c>
      <c r="BY1767">
        <v>3306</v>
      </c>
      <c r="CA1767" t="s">
        <v>519</v>
      </c>
      <c r="CC1767" t="s">
        <v>149</v>
      </c>
      <c r="CD1767">
        <v>2094</v>
      </c>
      <c r="CE1767" t="s">
        <v>191</v>
      </c>
      <c r="CF1767" s="3">
        <v>45947</v>
      </c>
      <c r="CI1767">
        <v>1</v>
      </c>
      <c r="CJ1767">
        <v>1</v>
      </c>
      <c r="CK1767">
        <v>22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"080068557883"</f>
        <v>080068557883</v>
      </c>
      <c r="F1768" s="3">
        <v>45946</v>
      </c>
      <c r="G1768">
        <v>202607</v>
      </c>
      <c r="H1768" t="s">
        <v>79</v>
      </c>
      <c r="I1768" t="s">
        <v>80</v>
      </c>
      <c r="J1768" t="s">
        <v>91</v>
      </c>
      <c r="K1768" t="s">
        <v>78</v>
      </c>
      <c r="L1768" t="s">
        <v>300</v>
      </c>
      <c r="M1768" t="s">
        <v>301</v>
      </c>
      <c r="N1768" t="s">
        <v>971</v>
      </c>
      <c r="O1768" t="s">
        <v>82</v>
      </c>
      <c r="P1768" t="str">
        <f>"4170064558                    "</f>
        <v xml:space="preserve">4170064558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31.44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99.79</v>
      </c>
      <c r="BM1768">
        <v>14.97</v>
      </c>
      <c r="BN1768">
        <v>114.76</v>
      </c>
      <c r="BO1768">
        <v>114.76</v>
      </c>
      <c r="BQ1768" t="s">
        <v>972</v>
      </c>
      <c r="BR1768" t="s">
        <v>97</v>
      </c>
      <c r="BS1768" s="3">
        <v>45947</v>
      </c>
      <c r="BT1768" s="4">
        <v>0.40833333333333333</v>
      </c>
      <c r="BU1768" t="s">
        <v>2522</v>
      </c>
      <c r="BV1768" t="s">
        <v>86</v>
      </c>
      <c r="BY1768">
        <v>1200</v>
      </c>
      <c r="CA1768" t="s">
        <v>974</v>
      </c>
      <c r="CC1768" t="s">
        <v>301</v>
      </c>
      <c r="CD1768">
        <v>1754</v>
      </c>
      <c r="CE1768" t="s">
        <v>147</v>
      </c>
      <c r="CF1768" s="3">
        <v>45947</v>
      </c>
      <c r="CI1768">
        <v>1</v>
      </c>
      <c r="CJ1768">
        <v>1</v>
      </c>
      <c r="CK1768">
        <v>24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"080068557890"</f>
        <v>080068557890</v>
      </c>
      <c r="F1769" s="3">
        <v>45946</v>
      </c>
      <c r="G1769">
        <v>202607</v>
      </c>
      <c r="H1769" t="s">
        <v>79</v>
      </c>
      <c r="I1769" t="s">
        <v>80</v>
      </c>
      <c r="J1769" t="s">
        <v>91</v>
      </c>
      <c r="K1769" t="s">
        <v>78</v>
      </c>
      <c r="L1769" t="s">
        <v>121</v>
      </c>
      <c r="M1769" t="s">
        <v>122</v>
      </c>
      <c r="N1769" t="s">
        <v>2504</v>
      </c>
      <c r="O1769" t="s">
        <v>82</v>
      </c>
      <c r="P1769" t="str">
        <f>"4170064557                    "</f>
        <v xml:space="preserve">4170064557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22.36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70.959999999999994</v>
      </c>
      <c r="BM1769">
        <v>10.64</v>
      </c>
      <c r="BN1769">
        <v>81.599999999999994</v>
      </c>
      <c r="BO1769">
        <v>81.599999999999994</v>
      </c>
      <c r="BQ1769" t="s">
        <v>708</v>
      </c>
      <c r="BR1769" t="s">
        <v>97</v>
      </c>
      <c r="BS1769" s="3">
        <v>45947</v>
      </c>
      <c r="BT1769" s="4">
        <v>0.40972222222222221</v>
      </c>
      <c r="BU1769" t="s">
        <v>2505</v>
      </c>
      <c r="BV1769" t="s">
        <v>86</v>
      </c>
      <c r="BY1769">
        <v>1200</v>
      </c>
      <c r="CA1769" t="s">
        <v>321</v>
      </c>
      <c r="CC1769" t="s">
        <v>122</v>
      </c>
      <c r="CD1769">
        <v>4000</v>
      </c>
      <c r="CE1769" t="s">
        <v>147</v>
      </c>
      <c r="CF1769" s="3">
        <v>45947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"080068557910"</f>
        <v>080068557910</v>
      </c>
      <c r="F1770" s="3">
        <v>45946</v>
      </c>
      <c r="G1770">
        <v>202607</v>
      </c>
      <c r="H1770" t="s">
        <v>79</v>
      </c>
      <c r="I1770" t="s">
        <v>80</v>
      </c>
      <c r="J1770" t="s">
        <v>91</v>
      </c>
      <c r="K1770" t="s">
        <v>78</v>
      </c>
      <c r="L1770" t="s">
        <v>127</v>
      </c>
      <c r="M1770" t="s">
        <v>128</v>
      </c>
      <c r="N1770" t="s">
        <v>129</v>
      </c>
      <c r="O1770" t="s">
        <v>82</v>
      </c>
      <c r="P1770" t="str">
        <f>"4170064526                    "</f>
        <v xml:space="preserve">4170064526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43.31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137.47</v>
      </c>
      <c r="BM1770">
        <v>20.62</v>
      </c>
      <c r="BN1770">
        <v>158.09</v>
      </c>
      <c r="BO1770">
        <v>158.09</v>
      </c>
      <c r="BQ1770" t="s">
        <v>130</v>
      </c>
      <c r="BR1770" t="s">
        <v>97</v>
      </c>
      <c r="BS1770" s="3">
        <v>45947</v>
      </c>
      <c r="BT1770" s="4">
        <v>0.43402777777777779</v>
      </c>
      <c r="BU1770" t="s">
        <v>2523</v>
      </c>
      <c r="BV1770" t="s">
        <v>86</v>
      </c>
      <c r="BY1770">
        <v>1200</v>
      </c>
      <c r="CA1770" t="s">
        <v>2524</v>
      </c>
      <c r="CC1770" t="s">
        <v>128</v>
      </c>
      <c r="CD1770">
        <v>2571</v>
      </c>
      <c r="CE1770" t="s">
        <v>147</v>
      </c>
      <c r="CF1770" s="3">
        <v>45950</v>
      </c>
      <c r="CI1770">
        <v>1</v>
      </c>
      <c r="CJ1770">
        <v>1</v>
      </c>
      <c r="CK1770">
        <v>23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"080068557925"</f>
        <v>080068557925</v>
      </c>
      <c r="F1771" s="3">
        <v>45946</v>
      </c>
      <c r="G1771">
        <v>202607</v>
      </c>
      <c r="H1771" t="s">
        <v>79</v>
      </c>
      <c r="I1771" t="s">
        <v>80</v>
      </c>
      <c r="J1771" t="s">
        <v>91</v>
      </c>
      <c r="K1771" t="s">
        <v>78</v>
      </c>
      <c r="L1771" t="s">
        <v>92</v>
      </c>
      <c r="M1771" t="s">
        <v>93</v>
      </c>
      <c r="N1771" t="s">
        <v>1871</v>
      </c>
      <c r="O1771" t="s">
        <v>82</v>
      </c>
      <c r="P1771" t="str">
        <f>"4170064522                    "</f>
        <v xml:space="preserve">4170064522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22.36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16.739999999999998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87.7</v>
      </c>
      <c r="BM1771">
        <v>13.16</v>
      </c>
      <c r="BN1771">
        <v>100.86</v>
      </c>
      <c r="BO1771">
        <v>100.86</v>
      </c>
      <c r="BQ1771" t="s">
        <v>1872</v>
      </c>
      <c r="BR1771" t="s">
        <v>97</v>
      </c>
      <c r="BS1771" s="3">
        <v>45947</v>
      </c>
      <c r="BT1771" s="4">
        <v>0.41736111111111113</v>
      </c>
      <c r="BU1771" t="s">
        <v>2525</v>
      </c>
      <c r="BV1771" t="s">
        <v>86</v>
      </c>
      <c r="BY1771">
        <v>1200</v>
      </c>
      <c r="BZ1771" t="s">
        <v>30</v>
      </c>
      <c r="CA1771" t="s">
        <v>2526</v>
      </c>
      <c r="CC1771" t="s">
        <v>93</v>
      </c>
      <c r="CD1771">
        <v>3699</v>
      </c>
      <c r="CE1771" t="s">
        <v>147</v>
      </c>
      <c r="CF1771" s="3">
        <v>45947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"080068557964"</f>
        <v>080068557964</v>
      </c>
      <c r="F1772" s="3">
        <v>45946</v>
      </c>
      <c r="G1772">
        <v>202607</v>
      </c>
      <c r="H1772" t="s">
        <v>79</v>
      </c>
      <c r="I1772" t="s">
        <v>80</v>
      </c>
      <c r="J1772" t="s">
        <v>91</v>
      </c>
      <c r="K1772" t="s">
        <v>78</v>
      </c>
      <c r="L1772" t="s">
        <v>271</v>
      </c>
      <c r="M1772" t="s">
        <v>272</v>
      </c>
      <c r="N1772" t="s">
        <v>277</v>
      </c>
      <c r="O1772" t="s">
        <v>82</v>
      </c>
      <c r="P1772" t="str">
        <f>"4170064589                    "</f>
        <v xml:space="preserve">4170064589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17.46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55.42</v>
      </c>
      <c r="BM1772">
        <v>8.31</v>
      </c>
      <c r="BN1772">
        <v>63.73</v>
      </c>
      <c r="BO1772">
        <v>63.73</v>
      </c>
      <c r="BQ1772" t="s">
        <v>278</v>
      </c>
      <c r="BR1772" t="s">
        <v>97</v>
      </c>
      <c r="BS1772" s="3">
        <v>45947</v>
      </c>
      <c r="BT1772" s="4">
        <v>0.34513888888888888</v>
      </c>
      <c r="BU1772" t="s">
        <v>1551</v>
      </c>
      <c r="BV1772" t="s">
        <v>86</v>
      </c>
      <c r="BY1772">
        <v>1200</v>
      </c>
      <c r="CA1772" t="s">
        <v>1659</v>
      </c>
      <c r="CC1772" t="s">
        <v>272</v>
      </c>
      <c r="CD1772">
        <v>1401</v>
      </c>
      <c r="CE1772" t="s">
        <v>147</v>
      </c>
      <c r="CF1772" s="3">
        <v>45947</v>
      </c>
      <c r="CI1772">
        <v>1</v>
      </c>
      <c r="CJ1772">
        <v>1</v>
      </c>
      <c r="CK1772">
        <v>22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"080068558054"</f>
        <v>080068558054</v>
      </c>
      <c r="F1773" s="3">
        <v>45946</v>
      </c>
      <c r="G1773">
        <v>202607</v>
      </c>
      <c r="H1773" t="s">
        <v>79</v>
      </c>
      <c r="I1773" t="s">
        <v>80</v>
      </c>
      <c r="J1773" t="s">
        <v>91</v>
      </c>
      <c r="K1773" t="s">
        <v>78</v>
      </c>
      <c r="L1773" t="s">
        <v>2063</v>
      </c>
      <c r="M1773" t="s">
        <v>2064</v>
      </c>
      <c r="N1773" t="s">
        <v>2065</v>
      </c>
      <c r="O1773" t="s">
        <v>82</v>
      </c>
      <c r="P1773" t="str">
        <f>"4170064603                    "</f>
        <v xml:space="preserve">4170064603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31.44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1.3</v>
      </c>
      <c r="BK1773">
        <v>1.5</v>
      </c>
      <c r="BL1773">
        <v>99.79</v>
      </c>
      <c r="BM1773">
        <v>14.97</v>
      </c>
      <c r="BN1773">
        <v>114.76</v>
      </c>
      <c r="BO1773">
        <v>114.76</v>
      </c>
      <c r="BQ1773" t="s">
        <v>2066</v>
      </c>
      <c r="BR1773" t="s">
        <v>97</v>
      </c>
      <c r="BS1773" s="3">
        <v>45947</v>
      </c>
      <c r="BT1773" s="4">
        <v>0.41666666666666669</v>
      </c>
      <c r="BU1773" t="s">
        <v>2527</v>
      </c>
      <c r="BV1773" t="s">
        <v>86</v>
      </c>
      <c r="BY1773">
        <v>6612</v>
      </c>
      <c r="CC1773" t="s">
        <v>2064</v>
      </c>
      <c r="CD1773">
        <v>1786</v>
      </c>
      <c r="CE1773" t="s">
        <v>191</v>
      </c>
      <c r="CF1773" s="3">
        <v>45947</v>
      </c>
      <c r="CI1773">
        <v>1</v>
      </c>
      <c r="CJ1773">
        <v>1</v>
      </c>
      <c r="CK1773">
        <v>24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"080068558253"</f>
        <v>080068558253</v>
      </c>
      <c r="F1774" s="3">
        <v>45946</v>
      </c>
      <c r="G1774">
        <v>202607</v>
      </c>
      <c r="H1774" t="s">
        <v>79</v>
      </c>
      <c r="I1774" t="s">
        <v>80</v>
      </c>
      <c r="J1774" t="s">
        <v>91</v>
      </c>
      <c r="K1774" t="s">
        <v>78</v>
      </c>
      <c r="L1774" t="s">
        <v>453</v>
      </c>
      <c r="M1774" t="s">
        <v>454</v>
      </c>
      <c r="N1774" t="s">
        <v>2528</v>
      </c>
      <c r="O1774" t="s">
        <v>82</v>
      </c>
      <c r="P1774" t="str">
        <f>"4170064571                    "</f>
        <v xml:space="preserve">4170064571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22.36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0.7</v>
      </c>
      <c r="BK1774">
        <v>1</v>
      </c>
      <c r="BL1774">
        <v>70.959999999999994</v>
      </c>
      <c r="BM1774">
        <v>10.64</v>
      </c>
      <c r="BN1774">
        <v>81.599999999999994</v>
      </c>
      <c r="BO1774">
        <v>81.599999999999994</v>
      </c>
      <c r="BQ1774" t="s">
        <v>2529</v>
      </c>
      <c r="BR1774" t="s">
        <v>97</v>
      </c>
      <c r="BS1774" s="3">
        <v>45947</v>
      </c>
      <c r="BT1774" s="4">
        <v>0.59513888888888888</v>
      </c>
      <c r="BU1774" t="s">
        <v>2530</v>
      </c>
      <c r="BV1774" t="s">
        <v>90</v>
      </c>
      <c r="BW1774" t="s">
        <v>136</v>
      </c>
      <c r="BX1774" t="s">
        <v>858</v>
      </c>
      <c r="BY1774">
        <v>3306</v>
      </c>
      <c r="CA1774" t="s">
        <v>2531</v>
      </c>
      <c r="CC1774" t="s">
        <v>454</v>
      </c>
      <c r="CD1774">
        <v>4037</v>
      </c>
      <c r="CE1774" t="s">
        <v>191</v>
      </c>
      <c r="CF1774" s="3">
        <v>45947</v>
      </c>
      <c r="CI1774">
        <v>1</v>
      </c>
      <c r="CJ1774">
        <v>1</v>
      </c>
      <c r="CK1774">
        <v>21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"080068558327"</f>
        <v>080068558327</v>
      </c>
      <c r="F1775" s="3">
        <v>45946</v>
      </c>
      <c r="G1775">
        <v>202607</v>
      </c>
      <c r="H1775" t="s">
        <v>79</v>
      </c>
      <c r="I1775" t="s">
        <v>80</v>
      </c>
      <c r="J1775" t="s">
        <v>91</v>
      </c>
      <c r="K1775" t="s">
        <v>78</v>
      </c>
      <c r="L1775" t="s">
        <v>271</v>
      </c>
      <c r="M1775" t="s">
        <v>272</v>
      </c>
      <c r="N1775" t="s">
        <v>368</v>
      </c>
      <c r="O1775" t="s">
        <v>226</v>
      </c>
      <c r="P1775" t="str">
        <f>"4170064563                    "</f>
        <v xml:space="preserve">4170064563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17.47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4</v>
      </c>
      <c r="BJ1775">
        <v>1.8</v>
      </c>
      <c r="BK1775">
        <v>4</v>
      </c>
      <c r="BL1775">
        <v>55.44</v>
      </c>
      <c r="BM1775">
        <v>8.32</v>
      </c>
      <c r="BN1775">
        <v>63.76</v>
      </c>
      <c r="BO1775">
        <v>63.76</v>
      </c>
      <c r="BQ1775" t="s">
        <v>369</v>
      </c>
      <c r="BR1775" t="s">
        <v>97</v>
      </c>
      <c r="BS1775" s="3">
        <v>45947</v>
      </c>
      <c r="BT1775" s="4">
        <v>0.35069444444444442</v>
      </c>
      <c r="BU1775" t="s">
        <v>2532</v>
      </c>
      <c r="BV1775" t="s">
        <v>86</v>
      </c>
      <c r="BY1775">
        <v>8816</v>
      </c>
      <c r="CA1775" t="s">
        <v>371</v>
      </c>
      <c r="CC1775" t="s">
        <v>272</v>
      </c>
      <c r="CD1775">
        <v>1401</v>
      </c>
      <c r="CE1775" t="s">
        <v>191</v>
      </c>
      <c r="CF1775" s="3">
        <v>45947</v>
      </c>
      <c r="CI1775">
        <v>1</v>
      </c>
      <c r="CJ1775">
        <v>1</v>
      </c>
      <c r="CK1775">
        <v>32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"080068558390"</f>
        <v>080068558390</v>
      </c>
      <c r="F1776" s="3">
        <v>45946</v>
      </c>
      <c r="G1776">
        <v>202607</v>
      </c>
      <c r="H1776" t="s">
        <v>79</v>
      </c>
      <c r="I1776" t="s">
        <v>80</v>
      </c>
      <c r="J1776" t="s">
        <v>91</v>
      </c>
      <c r="K1776" t="s">
        <v>78</v>
      </c>
      <c r="L1776" t="s">
        <v>884</v>
      </c>
      <c r="M1776" t="s">
        <v>885</v>
      </c>
      <c r="N1776" t="s">
        <v>886</v>
      </c>
      <c r="O1776" t="s">
        <v>82</v>
      </c>
      <c r="P1776" t="str">
        <f>"4170064615                    "</f>
        <v xml:space="preserve">4170064615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43.31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137.47</v>
      </c>
      <c r="BM1776">
        <v>20.62</v>
      </c>
      <c r="BN1776">
        <v>158.09</v>
      </c>
      <c r="BO1776">
        <v>158.09</v>
      </c>
      <c r="BQ1776" t="s">
        <v>887</v>
      </c>
      <c r="BR1776" t="s">
        <v>97</v>
      </c>
      <c r="BS1776" s="3">
        <v>45947</v>
      </c>
      <c r="BT1776" s="4">
        <v>0.3263888888888889</v>
      </c>
      <c r="BU1776" t="s">
        <v>1889</v>
      </c>
      <c r="BV1776" t="s">
        <v>86</v>
      </c>
      <c r="BY1776">
        <v>1200</v>
      </c>
      <c r="CA1776" t="s">
        <v>2533</v>
      </c>
      <c r="CC1776" t="s">
        <v>885</v>
      </c>
      <c r="CD1776">
        <v>2740</v>
      </c>
      <c r="CE1776" t="s">
        <v>147</v>
      </c>
      <c r="CF1776" s="3">
        <v>45950</v>
      </c>
      <c r="CI1776">
        <v>1</v>
      </c>
      <c r="CJ1776">
        <v>1</v>
      </c>
      <c r="CK1776">
        <v>23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"080068559813"</f>
        <v>080068559813</v>
      </c>
      <c r="F1777" s="3">
        <v>45946</v>
      </c>
      <c r="G1777">
        <v>202607</v>
      </c>
      <c r="H1777" t="s">
        <v>79</v>
      </c>
      <c r="I1777" t="s">
        <v>80</v>
      </c>
      <c r="J1777" t="s">
        <v>91</v>
      </c>
      <c r="K1777" t="s">
        <v>78</v>
      </c>
      <c r="L1777" t="s">
        <v>2534</v>
      </c>
      <c r="M1777" t="s">
        <v>2535</v>
      </c>
      <c r="N1777" t="s">
        <v>2536</v>
      </c>
      <c r="O1777" t="s">
        <v>82</v>
      </c>
      <c r="P1777" t="str">
        <f>"4170064587                    "</f>
        <v xml:space="preserve">4170064587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43.31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137.47</v>
      </c>
      <c r="BM1777">
        <v>20.62</v>
      </c>
      <c r="BN1777">
        <v>158.09</v>
      </c>
      <c r="BO1777">
        <v>158.09</v>
      </c>
      <c r="BQ1777" t="s">
        <v>2537</v>
      </c>
      <c r="BR1777" t="s">
        <v>97</v>
      </c>
      <c r="BS1777" s="3">
        <v>45947</v>
      </c>
      <c r="BT1777" s="4">
        <v>0.38541666666666669</v>
      </c>
      <c r="BU1777" t="s">
        <v>511</v>
      </c>
      <c r="BV1777" t="s">
        <v>86</v>
      </c>
      <c r="BY1777">
        <v>1200</v>
      </c>
      <c r="CA1777" t="s">
        <v>2538</v>
      </c>
      <c r="CC1777" t="s">
        <v>2535</v>
      </c>
      <c r="CD1777">
        <v>9701</v>
      </c>
      <c r="CE1777" t="s">
        <v>147</v>
      </c>
      <c r="CF1777" s="3">
        <v>45950</v>
      </c>
      <c r="CI1777">
        <v>1</v>
      </c>
      <c r="CJ1777">
        <v>1</v>
      </c>
      <c r="CK1777">
        <v>23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"080068560345"</f>
        <v>080068560345</v>
      </c>
      <c r="F1778" s="3">
        <v>45946</v>
      </c>
      <c r="G1778">
        <v>202607</v>
      </c>
      <c r="H1778" t="s">
        <v>79</v>
      </c>
      <c r="I1778" t="s">
        <v>80</v>
      </c>
      <c r="J1778" t="s">
        <v>91</v>
      </c>
      <c r="K1778" t="s">
        <v>78</v>
      </c>
      <c r="L1778" t="s">
        <v>206</v>
      </c>
      <c r="M1778" t="s">
        <v>207</v>
      </c>
      <c r="N1778" t="s">
        <v>734</v>
      </c>
      <c r="O1778" t="s">
        <v>82</v>
      </c>
      <c r="P1778" t="str">
        <f>"4170064617                    "</f>
        <v xml:space="preserve">4170064617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22.36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70.959999999999994</v>
      </c>
      <c r="BM1778">
        <v>10.64</v>
      </c>
      <c r="BN1778">
        <v>81.599999999999994</v>
      </c>
      <c r="BO1778">
        <v>81.599999999999994</v>
      </c>
      <c r="BQ1778" t="s">
        <v>735</v>
      </c>
      <c r="BR1778" t="s">
        <v>97</v>
      </c>
      <c r="BS1778" s="3">
        <v>45947</v>
      </c>
      <c r="BT1778" s="4">
        <v>0.4236111111111111</v>
      </c>
      <c r="BU1778" t="s">
        <v>736</v>
      </c>
      <c r="BV1778" t="s">
        <v>86</v>
      </c>
      <c r="BY1778">
        <v>1200</v>
      </c>
      <c r="CA1778" t="s">
        <v>480</v>
      </c>
      <c r="CC1778" t="s">
        <v>207</v>
      </c>
      <c r="CD1778">
        <v>7480</v>
      </c>
      <c r="CE1778" t="s">
        <v>147</v>
      </c>
      <c r="CF1778" s="3">
        <v>45950</v>
      </c>
      <c r="CI1778">
        <v>1</v>
      </c>
      <c r="CJ1778">
        <v>1</v>
      </c>
      <c r="CK1778">
        <v>21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"080068561055"</f>
        <v>080068561055</v>
      </c>
      <c r="F1779" s="3">
        <v>45946</v>
      </c>
      <c r="G1779">
        <v>202607</v>
      </c>
      <c r="H1779" t="s">
        <v>79</v>
      </c>
      <c r="I1779" t="s">
        <v>80</v>
      </c>
      <c r="J1779" t="s">
        <v>91</v>
      </c>
      <c r="K1779" t="s">
        <v>78</v>
      </c>
      <c r="L1779" t="s">
        <v>446</v>
      </c>
      <c r="M1779" t="s">
        <v>447</v>
      </c>
      <c r="N1779" t="s">
        <v>448</v>
      </c>
      <c r="O1779" t="s">
        <v>82</v>
      </c>
      <c r="P1779" t="str">
        <f>"4170064574                    "</f>
        <v xml:space="preserve">4170064574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43.31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1.9</v>
      </c>
      <c r="BK1779">
        <v>2</v>
      </c>
      <c r="BL1779">
        <v>137.47</v>
      </c>
      <c r="BM1779">
        <v>20.62</v>
      </c>
      <c r="BN1779">
        <v>158.09</v>
      </c>
      <c r="BO1779">
        <v>158.09</v>
      </c>
      <c r="BQ1779" t="s">
        <v>449</v>
      </c>
      <c r="BR1779" t="s">
        <v>97</v>
      </c>
      <c r="BS1779" s="3">
        <v>45947</v>
      </c>
      <c r="BT1779" s="4">
        <v>0.53263888888888888</v>
      </c>
      <c r="BU1779" t="s">
        <v>450</v>
      </c>
      <c r="BV1779" t="s">
        <v>86</v>
      </c>
      <c r="BY1779">
        <v>9600</v>
      </c>
      <c r="CA1779" t="s">
        <v>1124</v>
      </c>
      <c r="CC1779" t="s">
        <v>447</v>
      </c>
      <c r="CD1779">
        <v>7130</v>
      </c>
      <c r="CE1779" t="s">
        <v>191</v>
      </c>
      <c r="CF1779" s="3">
        <v>45950</v>
      </c>
      <c r="CI1779">
        <v>1</v>
      </c>
      <c r="CJ1779">
        <v>1</v>
      </c>
      <c r="CK1779">
        <v>23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"080068561270"</f>
        <v>080068561270</v>
      </c>
      <c r="F1780" s="3">
        <v>45946</v>
      </c>
      <c r="G1780">
        <v>202607</v>
      </c>
      <c r="H1780" t="s">
        <v>79</v>
      </c>
      <c r="I1780" t="s">
        <v>80</v>
      </c>
      <c r="J1780" t="s">
        <v>91</v>
      </c>
      <c r="K1780" t="s">
        <v>78</v>
      </c>
      <c r="L1780" t="s">
        <v>206</v>
      </c>
      <c r="M1780" t="s">
        <v>207</v>
      </c>
      <c r="N1780" t="s">
        <v>2539</v>
      </c>
      <c r="O1780" t="s">
        <v>82</v>
      </c>
      <c r="P1780" t="str">
        <f>"4170064648                    "</f>
        <v xml:space="preserve">4170064648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22.36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70.959999999999994</v>
      </c>
      <c r="BM1780">
        <v>10.64</v>
      </c>
      <c r="BN1780">
        <v>81.599999999999994</v>
      </c>
      <c r="BO1780">
        <v>81.599999999999994</v>
      </c>
      <c r="BQ1780" t="s">
        <v>2540</v>
      </c>
      <c r="BR1780" t="s">
        <v>97</v>
      </c>
      <c r="BS1780" s="3">
        <v>45950</v>
      </c>
      <c r="BT1780" s="4">
        <v>0.61597222222222225</v>
      </c>
      <c r="BU1780" t="s">
        <v>2541</v>
      </c>
      <c r="BV1780" t="s">
        <v>90</v>
      </c>
      <c r="BY1780">
        <v>1200</v>
      </c>
      <c r="CA1780" t="s">
        <v>1104</v>
      </c>
      <c r="CC1780" t="s">
        <v>207</v>
      </c>
      <c r="CD1780">
        <v>7530</v>
      </c>
      <c r="CE1780" t="s">
        <v>147</v>
      </c>
      <c r="CI1780">
        <v>1</v>
      </c>
      <c r="CJ1780">
        <v>2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"080068561545"</f>
        <v>080068561545</v>
      </c>
      <c r="F1781" s="3">
        <v>45946</v>
      </c>
      <c r="G1781">
        <v>202607</v>
      </c>
      <c r="H1781" t="s">
        <v>79</v>
      </c>
      <c r="I1781" t="s">
        <v>80</v>
      </c>
      <c r="J1781" t="s">
        <v>91</v>
      </c>
      <c r="K1781" t="s">
        <v>78</v>
      </c>
      <c r="L1781" t="s">
        <v>206</v>
      </c>
      <c r="M1781" t="s">
        <v>207</v>
      </c>
      <c r="N1781" t="s">
        <v>2026</v>
      </c>
      <c r="O1781" t="s">
        <v>95</v>
      </c>
      <c r="P1781" t="str">
        <f>"4170064565                    "</f>
        <v xml:space="preserve">4170064565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43.23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6</v>
      </c>
      <c r="BJ1781">
        <v>2.6</v>
      </c>
      <c r="BK1781">
        <v>6</v>
      </c>
      <c r="BL1781">
        <v>143.08000000000001</v>
      </c>
      <c r="BM1781">
        <v>21.46</v>
      </c>
      <c r="BN1781">
        <v>164.54</v>
      </c>
      <c r="BO1781">
        <v>164.54</v>
      </c>
      <c r="BQ1781" t="s">
        <v>2027</v>
      </c>
      <c r="BR1781" t="s">
        <v>97</v>
      </c>
      <c r="BS1781" s="3">
        <v>45950</v>
      </c>
      <c r="BT1781" s="4">
        <v>0.53749999999999998</v>
      </c>
      <c r="BU1781" t="s">
        <v>2542</v>
      </c>
      <c r="BV1781" t="s">
        <v>86</v>
      </c>
      <c r="BY1781">
        <v>13224</v>
      </c>
      <c r="CA1781" t="s">
        <v>2543</v>
      </c>
      <c r="CC1781" t="s">
        <v>207</v>
      </c>
      <c r="CD1781">
        <v>7500</v>
      </c>
      <c r="CE1781" t="s">
        <v>931</v>
      </c>
      <c r="CF1781" s="3">
        <v>45951</v>
      </c>
      <c r="CI1781">
        <v>3</v>
      </c>
      <c r="CJ1781">
        <v>2</v>
      </c>
      <c r="CK1781">
        <v>41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"080068561753"</f>
        <v>080068561753</v>
      </c>
      <c r="F1782" s="3">
        <v>45946</v>
      </c>
      <c r="G1782">
        <v>202607</v>
      </c>
      <c r="H1782" t="s">
        <v>79</v>
      </c>
      <c r="I1782" t="s">
        <v>80</v>
      </c>
      <c r="J1782" t="s">
        <v>91</v>
      </c>
      <c r="K1782" t="s">
        <v>78</v>
      </c>
      <c r="L1782" t="s">
        <v>121</v>
      </c>
      <c r="M1782" t="s">
        <v>122</v>
      </c>
      <c r="N1782" t="s">
        <v>1557</v>
      </c>
      <c r="O1782" t="s">
        <v>95</v>
      </c>
      <c r="P1782" t="str">
        <f>"4170064640                    "</f>
        <v xml:space="preserve">4170064640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43.23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5</v>
      </c>
      <c r="BJ1782">
        <v>2.6</v>
      </c>
      <c r="BK1782">
        <v>5</v>
      </c>
      <c r="BL1782">
        <v>143.08000000000001</v>
      </c>
      <c r="BM1782">
        <v>21.46</v>
      </c>
      <c r="BN1782">
        <v>164.54</v>
      </c>
      <c r="BO1782">
        <v>164.54</v>
      </c>
      <c r="BQ1782" t="s">
        <v>1558</v>
      </c>
      <c r="BR1782" t="s">
        <v>97</v>
      </c>
      <c r="BS1782" s="3">
        <v>45947</v>
      </c>
      <c r="BT1782" s="4">
        <v>0.375</v>
      </c>
      <c r="BU1782" t="s">
        <v>1559</v>
      </c>
      <c r="BV1782" t="s">
        <v>86</v>
      </c>
      <c r="BY1782">
        <v>13224</v>
      </c>
      <c r="CA1782" t="s">
        <v>1114</v>
      </c>
      <c r="CC1782" t="s">
        <v>122</v>
      </c>
      <c r="CD1782">
        <v>4001</v>
      </c>
      <c r="CE1782" t="s">
        <v>931</v>
      </c>
      <c r="CF1782" s="3">
        <v>45947</v>
      </c>
      <c r="CI1782">
        <v>1</v>
      </c>
      <c r="CJ1782">
        <v>1</v>
      </c>
      <c r="CK1782">
        <v>41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"080068562709"</f>
        <v>080068562709</v>
      </c>
      <c r="F1783" s="3">
        <v>45946</v>
      </c>
      <c r="G1783">
        <v>202607</v>
      </c>
      <c r="H1783" t="s">
        <v>79</v>
      </c>
      <c r="I1783" t="s">
        <v>80</v>
      </c>
      <c r="J1783" t="s">
        <v>91</v>
      </c>
      <c r="K1783" t="s">
        <v>78</v>
      </c>
      <c r="L1783" t="s">
        <v>453</v>
      </c>
      <c r="M1783" t="s">
        <v>454</v>
      </c>
      <c r="N1783" t="s">
        <v>845</v>
      </c>
      <c r="O1783" t="s">
        <v>82</v>
      </c>
      <c r="P1783" t="str">
        <f>"4170064585                    "</f>
        <v xml:space="preserve">4170064585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22.36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70.959999999999994</v>
      </c>
      <c r="BM1783">
        <v>10.64</v>
      </c>
      <c r="BN1783">
        <v>81.599999999999994</v>
      </c>
      <c r="BO1783">
        <v>81.599999999999994</v>
      </c>
      <c r="BQ1783" t="s">
        <v>846</v>
      </c>
      <c r="BR1783" t="s">
        <v>97</v>
      </c>
      <c r="BS1783" s="3">
        <v>45947</v>
      </c>
      <c r="BT1783" s="4">
        <v>0.35694444444444445</v>
      </c>
      <c r="BU1783" t="s">
        <v>2146</v>
      </c>
      <c r="BV1783" t="s">
        <v>86</v>
      </c>
      <c r="BY1783">
        <v>1200</v>
      </c>
      <c r="CA1783" t="s">
        <v>457</v>
      </c>
      <c r="CC1783" t="s">
        <v>454</v>
      </c>
      <c r="CD1783">
        <v>3610</v>
      </c>
      <c r="CE1783" t="s">
        <v>147</v>
      </c>
      <c r="CF1783" s="3">
        <v>45947</v>
      </c>
      <c r="CI1783">
        <v>1</v>
      </c>
      <c r="CJ1783">
        <v>1</v>
      </c>
      <c r="CK1783">
        <v>21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"080068562722"</f>
        <v>080068562722</v>
      </c>
      <c r="F1784" s="3">
        <v>45946</v>
      </c>
      <c r="G1784">
        <v>202607</v>
      </c>
      <c r="H1784" t="s">
        <v>79</v>
      </c>
      <c r="I1784" t="s">
        <v>80</v>
      </c>
      <c r="J1784" t="s">
        <v>91</v>
      </c>
      <c r="K1784" t="s">
        <v>78</v>
      </c>
      <c r="L1784" t="s">
        <v>92</v>
      </c>
      <c r="M1784" t="s">
        <v>93</v>
      </c>
      <c r="N1784" t="s">
        <v>601</v>
      </c>
      <c r="O1784" t="s">
        <v>95</v>
      </c>
      <c r="P1784" t="str">
        <f>"4170064555                    "</f>
        <v xml:space="preserve">4170064555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52.15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20</v>
      </c>
      <c r="BJ1784">
        <v>9.1</v>
      </c>
      <c r="BK1784">
        <v>20</v>
      </c>
      <c r="BL1784">
        <v>171.4</v>
      </c>
      <c r="BM1784">
        <v>25.71</v>
      </c>
      <c r="BN1784">
        <v>197.11</v>
      </c>
      <c r="BO1784">
        <v>197.11</v>
      </c>
      <c r="BQ1784" t="s">
        <v>602</v>
      </c>
      <c r="BR1784" t="s">
        <v>97</v>
      </c>
      <c r="BS1784" s="3">
        <v>45947</v>
      </c>
      <c r="BT1784" s="4">
        <v>0.43333333333333335</v>
      </c>
      <c r="BU1784" t="s">
        <v>852</v>
      </c>
      <c r="BV1784" t="s">
        <v>86</v>
      </c>
      <c r="BY1784">
        <v>45632</v>
      </c>
      <c r="CC1784" t="s">
        <v>93</v>
      </c>
      <c r="CD1784">
        <v>3212</v>
      </c>
      <c r="CE1784" t="s">
        <v>191</v>
      </c>
      <c r="CF1784" s="3">
        <v>45947</v>
      </c>
      <c r="CI1784">
        <v>3</v>
      </c>
      <c r="CJ1784">
        <v>1</v>
      </c>
      <c r="CK1784">
        <v>41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"080068562767"</f>
        <v>080068562767</v>
      </c>
      <c r="F1785" s="3">
        <v>45946</v>
      </c>
      <c r="G1785">
        <v>202607</v>
      </c>
      <c r="H1785" t="s">
        <v>79</v>
      </c>
      <c r="I1785" t="s">
        <v>80</v>
      </c>
      <c r="J1785" t="s">
        <v>91</v>
      </c>
      <c r="K1785" t="s">
        <v>78</v>
      </c>
      <c r="L1785" t="s">
        <v>788</v>
      </c>
      <c r="M1785" t="s">
        <v>789</v>
      </c>
      <c r="N1785" t="s">
        <v>790</v>
      </c>
      <c r="O1785" t="s">
        <v>82</v>
      </c>
      <c r="P1785" t="str">
        <f>"4170064625                    "</f>
        <v xml:space="preserve">4170064625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43.31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1.1000000000000001</v>
      </c>
      <c r="BK1785">
        <v>1.5</v>
      </c>
      <c r="BL1785">
        <v>137.47</v>
      </c>
      <c r="BM1785">
        <v>20.62</v>
      </c>
      <c r="BN1785">
        <v>158.09</v>
      </c>
      <c r="BO1785">
        <v>158.09</v>
      </c>
      <c r="BQ1785" t="s">
        <v>791</v>
      </c>
      <c r="BR1785" t="s">
        <v>97</v>
      </c>
      <c r="BS1785" s="3">
        <v>45947</v>
      </c>
      <c r="BT1785" s="4">
        <v>0.3888888888888889</v>
      </c>
      <c r="BU1785" t="s">
        <v>792</v>
      </c>
      <c r="BV1785" t="s">
        <v>86</v>
      </c>
      <c r="BY1785">
        <v>5320</v>
      </c>
      <c r="CA1785" t="s">
        <v>793</v>
      </c>
      <c r="CC1785" t="s">
        <v>789</v>
      </c>
      <c r="CD1785">
        <v>3290</v>
      </c>
      <c r="CE1785" t="s">
        <v>191</v>
      </c>
      <c r="CF1785" s="3">
        <v>45948</v>
      </c>
      <c r="CI1785">
        <v>1</v>
      </c>
      <c r="CJ1785">
        <v>1</v>
      </c>
      <c r="CK1785">
        <v>23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"080068562813"</f>
        <v>080068562813</v>
      </c>
      <c r="F1786" s="3">
        <v>45946</v>
      </c>
      <c r="G1786">
        <v>202607</v>
      </c>
      <c r="H1786" t="s">
        <v>79</v>
      </c>
      <c r="I1786" t="s">
        <v>80</v>
      </c>
      <c r="J1786" t="s">
        <v>91</v>
      </c>
      <c r="K1786" t="s">
        <v>78</v>
      </c>
      <c r="L1786" t="s">
        <v>148</v>
      </c>
      <c r="M1786" t="s">
        <v>149</v>
      </c>
      <c r="N1786" t="s">
        <v>685</v>
      </c>
      <c r="O1786" t="s">
        <v>82</v>
      </c>
      <c r="P1786" t="str">
        <f>"4170064643                    "</f>
        <v xml:space="preserve">4170064643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17.46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55.42</v>
      </c>
      <c r="BM1786">
        <v>8.31</v>
      </c>
      <c r="BN1786">
        <v>63.73</v>
      </c>
      <c r="BO1786">
        <v>63.73</v>
      </c>
      <c r="BQ1786" t="s">
        <v>686</v>
      </c>
      <c r="BR1786" t="s">
        <v>97</v>
      </c>
      <c r="BS1786" s="3">
        <v>45947</v>
      </c>
      <c r="BT1786" s="4">
        <v>0.35555555555555557</v>
      </c>
      <c r="BU1786" t="s">
        <v>902</v>
      </c>
      <c r="BV1786" t="s">
        <v>86</v>
      </c>
      <c r="BY1786">
        <v>1200</v>
      </c>
      <c r="CA1786" t="s">
        <v>904</v>
      </c>
      <c r="CC1786" t="s">
        <v>149</v>
      </c>
      <c r="CD1786">
        <v>2169</v>
      </c>
      <c r="CE1786" t="s">
        <v>147</v>
      </c>
      <c r="CF1786" s="3">
        <v>45947</v>
      </c>
      <c r="CI1786">
        <v>1</v>
      </c>
      <c r="CJ1786">
        <v>1</v>
      </c>
      <c r="CK1786">
        <v>22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"080068562827"</f>
        <v>080068562827</v>
      </c>
      <c r="F1787" s="3">
        <v>45946</v>
      </c>
      <c r="G1787">
        <v>202607</v>
      </c>
      <c r="H1787" t="s">
        <v>79</v>
      </c>
      <c r="I1787" t="s">
        <v>80</v>
      </c>
      <c r="J1787" t="s">
        <v>91</v>
      </c>
      <c r="K1787" t="s">
        <v>78</v>
      </c>
      <c r="L1787" t="s">
        <v>92</v>
      </c>
      <c r="M1787" t="s">
        <v>93</v>
      </c>
      <c r="N1787" t="s">
        <v>601</v>
      </c>
      <c r="O1787" t="s">
        <v>82</v>
      </c>
      <c r="P1787" t="str">
        <f>"4170064554                    "</f>
        <v xml:space="preserve">4170064554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89.37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8</v>
      </c>
      <c r="BJ1787">
        <v>3.4</v>
      </c>
      <c r="BK1787">
        <v>8</v>
      </c>
      <c r="BL1787">
        <v>283.64999999999998</v>
      </c>
      <c r="BM1787">
        <v>42.55</v>
      </c>
      <c r="BN1787">
        <v>326.2</v>
      </c>
      <c r="BO1787">
        <v>326.2</v>
      </c>
      <c r="BQ1787" t="s">
        <v>602</v>
      </c>
      <c r="BR1787" t="s">
        <v>97</v>
      </c>
      <c r="BS1787" s="3">
        <v>45947</v>
      </c>
      <c r="BT1787" s="4">
        <v>0.43333333333333335</v>
      </c>
      <c r="BU1787" t="s">
        <v>852</v>
      </c>
      <c r="BV1787" t="s">
        <v>86</v>
      </c>
      <c r="BY1787">
        <v>16965</v>
      </c>
      <c r="CC1787" t="s">
        <v>93</v>
      </c>
      <c r="CD1787">
        <v>3212</v>
      </c>
      <c r="CE1787" t="s">
        <v>191</v>
      </c>
      <c r="CF1787" s="3">
        <v>45947</v>
      </c>
      <c r="CI1787">
        <v>2</v>
      </c>
      <c r="CJ1787">
        <v>1</v>
      </c>
      <c r="CK1787">
        <v>21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"080068562861"</f>
        <v>080068562861</v>
      </c>
      <c r="F1788" s="3">
        <v>45946</v>
      </c>
      <c r="G1788">
        <v>202607</v>
      </c>
      <c r="H1788" t="s">
        <v>79</v>
      </c>
      <c r="I1788" t="s">
        <v>80</v>
      </c>
      <c r="J1788" t="s">
        <v>91</v>
      </c>
      <c r="K1788" t="s">
        <v>78</v>
      </c>
      <c r="L1788" t="s">
        <v>223</v>
      </c>
      <c r="M1788" t="s">
        <v>224</v>
      </c>
      <c r="N1788" t="s">
        <v>1464</v>
      </c>
      <c r="O1788" t="s">
        <v>82</v>
      </c>
      <c r="P1788" t="str">
        <f>"4170064644                    "</f>
        <v xml:space="preserve">4170064644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17.46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1.8</v>
      </c>
      <c r="BK1788">
        <v>2</v>
      </c>
      <c r="BL1788">
        <v>55.42</v>
      </c>
      <c r="BM1788">
        <v>8.31</v>
      </c>
      <c r="BN1788">
        <v>63.73</v>
      </c>
      <c r="BO1788">
        <v>63.73</v>
      </c>
      <c r="BQ1788" t="s">
        <v>1465</v>
      </c>
      <c r="BR1788" t="s">
        <v>97</v>
      </c>
      <c r="BS1788" s="3">
        <v>45947</v>
      </c>
      <c r="BT1788" s="4">
        <v>0.42986111111111114</v>
      </c>
      <c r="BU1788" t="s">
        <v>2518</v>
      </c>
      <c r="BV1788" t="s">
        <v>86</v>
      </c>
      <c r="BY1788">
        <v>8816</v>
      </c>
      <c r="CA1788" t="s">
        <v>1110</v>
      </c>
      <c r="CC1788" t="s">
        <v>224</v>
      </c>
      <c r="CD1788">
        <v>1459</v>
      </c>
      <c r="CE1788" t="s">
        <v>191</v>
      </c>
      <c r="CF1788" s="3">
        <v>45953</v>
      </c>
      <c r="CI1788">
        <v>1</v>
      </c>
      <c r="CJ1788">
        <v>1</v>
      </c>
      <c r="CK1788">
        <v>22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"080068562890"</f>
        <v>080068562890</v>
      </c>
      <c r="F1789" s="3">
        <v>45946</v>
      </c>
      <c r="G1789">
        <v>202607</v>
      </c>
      <c r="H1789" t="s">
        <v>79</v>
      </c>
      <c r="I1789" t="s">
        <v>80</v>
      </c>
      <c r="J1789" t="s">
        <v>91</v>
      </c>
      <c r="K1789" t="s">
        <v>78</v>
      </c>
      <c r="L1789" t="s">
        <v>206</v>
      </c>
      <c r="M1789" t="s">
        <v>207</v>
      </c>
      <c r="N1789" t="s">
        <v>891</v>
      </c>
      <c r="O1789" t="s">
        <v>82</v>
      </c>
      <c r="P1789" t="str">
        <f>"4170064524                    "</f>
        <v xml:space="preserve">4170064524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22.36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70.959999999999994</v>
      </c>
      <c r="BM1789">
        <v>10.64</v>
      </c>
      <c r="BN1789">
        <v>81.599999999999994</v>
      </c>
      <c r="BO1789">
        <v>81.599999999999994</v>
      </c>
      <c r="BQ1789" t="s">
        <v>892</v>
      </c>
      <c r="BR1789" t="s">
        <v>97</v>
      </c>
      <c r="BS1789" s="3">
        <v>45947</v>
      </c>
      <c r="BT1789" s="4">
        <v>0.40763888888888888</v>
      </c>
      <c r="BU1789" t="s">
        <v>2544</v>
      </c>
      <c r="BV1789" t="s">
        <v>86</v>
      </c>
      <c r="BY1789">
        <v>1200</v>
      </c>
      <c r="CA1789" t="s">
        <v>2545</v>
      </c>
      <c r="CC1789" t="s">
        <v>207</v>
      </c>
      <c r="CD1789">
        <v>7925</v>
      </c>
      <c r="CE1789" t="s">
        <v>147</v>
      </c>
      <c r="CF1789" s="3">
        <v>45950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"080068562907"</f>
        <v>080068562907</v>
      </c>
      <c r="F1790" s="3">
        <v>45946</v>
      </c>
      <c r="G1790">
        <v>202607</v>
      </c>
      <c r="H1790" t="s">
        <v>79</v>
      </c>
      <c r="I1790" t="s">
        <v>80</v>
      </c>
      <c r="J1790" t="s">
        <v>91</v>
      </c>
      <c r="K1790" t="s">
        <v>78</v>
      </c>
      <c r="L1790" t="s">
        <v>121</v>
      </c>
      <c r="M1790" t="s">
        <v>122</v>
      </c>
      <c r="N1790" t="s">
        <v>123</v>
      </c>
      <c r="O1790" t="s">
        <v>82</v>
      </c>
      <c r="P1790" t="str">
        <f>"4170064624                    "</f>
        <v xml:space="preserve">4170064624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22.36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70.959999999999994</v>
      </c>
      <c r="BM1790">
        <v>10.64</v>
      </c>
      <c r="BN1790">
        <v>81.599999999999994</v>
      </c>
      <c r="BO1790">
        <v>81.599999999999994</v>
      </c>
      <c r="BQ1790" t="s">
        <v>124</v>
      </c>
      <c r="BR1790" t="s">
        <v>97</v>
      </c>
      <c r="BS1790" s="3">
        <v>45947</v>
      </c>
      <c r="BT1790" s="4">
        <v>0.35555555555555557</v>
      </c>
      <c r="BU1790" t="s">
        <v>2412</v>
      </c>
      <c r="BV1790" t="s">
        <v>86</v>
      </c>
      <c r="BY1790">
        <v>1200</v>
      </c>
      <c r="CA1790" t="s">
        <v>126</v>
      </c>
      <c r="CC1790" t="s">
        <v>122</v>
      </c>
      <c r="CD1790">
        <v>4051</v>
      </c>
      <c r="CE1790" t="s">
        <v>147</v>
      </c>
      <c r="CF1790" s="3">
        <v>45947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"080068562925"</f>
        <v>080068562925</v>
      </c>
      <c r="F1791" s="3">
        <v>45946</v>
      </c>
      <c r="G1791">
        <v>202607</v>
      </c>
      <c r="H1791" t="s">
        <v>79</v>
      </c>
      <c r="I1791" t="s">
        <v>80</v>
      </c>
      <c r="J1791" t="s">
        <v>91</v>
      </c>
      <c r="K1791" t="s">
        <v>78</v>
      </c>
      <c r="L1791" t="s">
        <v>322</v>
      </c>
      <c r="M1791" t="s">
        <v>322</v>
      </c>
      <c r="N1791" t="s">
        <v>483</v>
      </c>
      <c r="O1791" t="s">
        <v>82</v>
      </c>
      <c r="P1791" t="str">
        <f>"4170064656                    "</f>
        <v xml:space="preserve">4170064656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43.31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137.47</v>
      </c>
      <c r="BM1791">
        <v>20.62</v>
      </c>
      <c r="BN1791">
        <v>158.09</v>
      </c>
      <c r="BO1791">
        <v>158.09</v>
      </c>
      <c r="BQ1791" t="s">
        <v>486</v>
      </c>
      <c r="BR1791" t="s">
        <v>97</v>
      </c>
      <c r="BS1791" s="3">
        <v>45947</v>
      </c>
      <c r="BT1791" s="4">
        <v>0.54027777777777775</v>
      </c>
      <c r="BU1791" t="s">
        <v>485</v>
      </c>
      <c r="BV1791" t="s">
        <v>86</v>
      </c>
      <c r="BY1791">
        <v>1200</v>
      </c>
      <c r="CA1791" t="s">
        <v>326</v>
      </c>
      <c r="CC1791" t="s">
        <v>322</v>
      </c>
      <c r="CD1791">
        <v>7646</v>
      </c>
      <c r="CE1791" t="s">
        <v>147</v>
      </c>
      <c r="CF1791" s="3">
        <v>45950</v>
      </c>
      <c r="CI1791">
        <v>1</v>
      </c>
      <c r="CJ1791">
        <v>1</v>
      </c>
      <c r="CK1791">
        <v>23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"080068563110"</f>
        <v>080068563110</v>
      </c>
      <c r="F1792" s="3">
        <v>45946</v>
      </c>
      <c r="G1792">
        <v>202607</v>
      </c>
      <c r="H1792" t="s">
        <v>79</v>
      </c>
      <c r="I1792" t="s">
        <v>80</v>
      </c>
      <c r="J1792" t="s">
        <v>91</v>
      </c>
      <c r="K1792" t="s">
        <v>78</v>
      </c>
      <c r="L1792" t="s">
        <v>206</v>
      </c>
      <c r="M1792" t="s">
        <v>207</v>
      </c>
      <c r="N1792" t="s">
        <v>458</v>
      </c>
      <c r="O1792" t="s">
        <v>82</v>
      </c>
      <c r="P1792" t="str">
        <f>"4170064553                    "</f>
        <v xml:space="preserve">4170064553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39.11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3.4</v>
      </c>
      <c r="BK1792">
        <v>3.5</v>
      </c>
      <c r="BL1792">
        <v>124.13</v>
      </c>
      <c r="BM1792">
        <v>18.62</v>
      </c>
      <c r="BN1792">
        <v>142.75</v>
      </c>
      <c r="BO1792">
        <v>142.75</v>
      </c>
      <c r="BQ1792" t="s">
        <v>459</v>
      </c>
      <c r="BR1792" t="s">
        <v>97</v>
      </c>
      <c r="BS1792" s="3">
        <v>45947</v>
      </c>
      <c r="BT1792" s="4">
        <v>0.43472222222222223</v>
      </c>
      <c r="BU1792" t="s">
        <v>1396</v>
      </c>
      <c r="BV1792" t="s">
        <v>86</v>
      </c>
      <c r="BY1792">
        <v>16965</v>
      </c>
      <c r="CA1792" t="s">
        <v>461</v>
      </c>
      <c r="CC1792" t="s">
        <v>207</v>
      </c>
      <c r="CD1792">
        <v>7530</v>
      </c>
      <c r="CE1792" t="s">
        <v>191</v>
      </c>
      <c r="CF1792" s="3">
        <v>45950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"080068563153"</f>
        <v>080068563153</v>
      </c>
      <c r="F1793" s="3">
        <v>45946</v>
      </c>
      <c r="G1793">
        <v>202607</v>
      </c>
      <c r="H1793" t="s">
        <v>79</v>
      </c>
      <c r="I1793" t="s">
        <v>80</v>
      </c>
      <c r="J1793" t="s">
        <v>91</v>
      </c>
      <c r="K1793" t="s">
        <v>78</v>
      </c>
      <c r="L1793" t="s">
        <v>333</v>
      </c>
      <c r="M1793" t="s">
        <v>334</v>
      </c>
      <c r="N1793" t="s">
        <v>794</v>
      </c>
      <c r="O1793" t="s">
        <v>82</v>
      </c>
      <c r="P1793" t="str">
        <f>"4170064659                    "</f>
        <v xml:space="preserve">4170064659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22.36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70.959999999999994</v>
      </c>
      <c r="BM1793">
        <v>10.64</v>
      </c>
      <c r="BN1793">
        <v>81.599999999999994</v>
      </c>
      <c r="BO1793">
        <v>81.599999999999994</v>
      </c>
      <c r="BQ1793" t="s">
        <v>795</v>
      </c>
      <c r="BR1793" t="s">
        <v>97</v>
      </c>
      <c r="BS1793" s="3">
        <v>45947</v>
      </c>
      <c r="BT1793" s="4">
        <v>0.4284722222222222</v>
      </c>
      <c r="BU1793" t="s">
        <v>796</v>
      </c>
      <c r="BV1793" t="s">
        <v>86</v>
      </c>
      <c r="BY1793">
        <v>1200</v>
      </c>
      <c r="CA1793" t="s">
        <v>142</v>
      </c>
      <c r="CC1793" t="s">
        <v>334</v>
      </c>
      <c r="CD1793">
        <v>6220</v>
      </c>
      <c r="CE1793" t="s">
        <v>1955</v>
      </c>
      <c r="CF1793" s="3">
        <v>45947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"080068563172"</f>
        <v>080068563172</v>
      </c>
      <c r="F1794" s="3">
        <v>45946</v>
      </c>
      <c r="G1794">
        <v>202607</v>
      </c>
      <c r="H1794" t="s">
        <v>79</v>
      </c>
      <c r="I1794" t="s">
        <v>80</v>
      </c>
      <c r="J1794" t="s">
        <v>91</v>
      </c>
      <c r="K1794" t="s">
        <v>78</v>
      </c>
      <c r="L1794" t="s">
        <v>206</v>
      </c>
      <c r="M1794" t="s">
        <v>207</v>
      </c>
      <c r="N1794" t="s">
        <v>1200</v>
      </c>
      <c r="O1794" t="s">
        <v>82</v>
      </c>
      <c r="P1794" t="str">
        <f>"4170064532                    "</f>
        <v xml:space="preserve">4170064532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22.36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70.959999999999994</v>
      </c>
      <c r="BM1794">
        <v>10.64</v>
      </c>
      <c r="BN1794">
        <v>81.599999999999994</v>
      </c>
      <c r="BO1794">
        <v>81.599999999999994</v>
      </c>
      <c r="BQ1794" t="s">
        <v>1201</v>
      </c>
      <c r="BR1794" t="s">
        <v>97</v>
      </c>
      <c r="BS1794" s="3">
        <v>45947</v>
      </c>
      <c r="BT1794" s="4">
        <v>0.38055555555555554</v>
      </c>
      <c r="BU1794" t="s">
        <v>2546</v>
      </c>
      <c r="BV1794" t="s">
        <v>86</v>
      </c>
      <c r="BY1794">
        <v>1200</v>
      </c>
      <c r="CA1794" t="s">
        <v>211</v>
      </c>
      <c r="CC1794" t="s">
        <v>207</v>
      </c>
      <c r="CD1794">
        <v>8001</v>
      </c>
      <c r="CE1794" t="s">
        <v>147</v>
      </c>
      <c r="CF1794" s="3">
        <v>45950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"080068563197"</f>
        <v>080068563197</v>
      </c>
      <c r="F1795" s="3">
        <v>45946</v>
      </c>
      <c r="G1795">
        <v>202607</v>
      </c>
      <c r="H1795" t="s">
        <v>79</v>
      </c>
      <c r="I1795" t="s">
        <v>80</v>
      </c>
      <c r="J1795" t="s">
        <v>91</v>
      </c>
      <c r="K1795" t="s">
        <v>78</v>
      </c>
      <c r="L1795" t="s">
        <v>121</v>
      </c>
      <c r="M1795" t="s">
        <v>122</v>
      </c>
      <c r="N1795" t="s">
        <v>123</v>
      </c>
      <c r="O1795" t="s">
        <v>82</v>
      </c>
      <c r="P1795" t="str">
        <f>"4170064664                    "</f>
        <v xml:space="preserve">4170064664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22.36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70.959999999999994</v>
      </c>
      <c r="BM1795">
        <v>10.64</v>
      </c>
      <c r="BN1795">
        <v>81.599999999999994</v>
      </c>
      <c r="BO1795">
        <v>81.599999999999994</v>
      </c>
      <c r="BQ1795" t="s">
        <v>124</v>
      </c>
      <c r="BR1795" t="s">
        <v>97</v>
      </c>
      <c r="BS1795" s="3">
        <v>45947</v>
      </c>
      <c r="BT1795" s="4">
        <v>0.35555555555555557</v>
      </c>
      <c r="BU1795" t="s">
        <v>2412</v>
      </c>
      <c r="BV1795" t="s">
        <v>86</v>
      </c>
      <c r="BY1795">
        <v>1200</v>
      </c>
      <c r="CA1795" t="s">
        <v>126</v>
      </c>
      <c r="CC1795" t="s">
        <v>122</v>
      </c>
      <c r="CD1795">
        <v>4051</v>
      </c>
      <c r="CE1795" t="s">
        <v>147</v>
      </c>
      <c r="CF1795" s="3">
        <v>45947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"080068563226"</f>
        <v>080068563226</v>
      </c>
      <c r="F1796" s="3">
        <v>45946</v>
      </c>
      <c r="G1796">
        <v>202607</v>
      </c>
      <c r="H1796" t="s">
        <v>79</v>
      </c>
      <c r="I1796" t="s">
        <v>80</v>
      </c>
      <c r="J1796" t="s">
        <v>91</v>
      </c>
      <c r="K1796" t="s">
        <v>78</v>
      </c>
      <c r="L1796" t="s">
        <v>1095</v>
      </c>
      <c r="M1796" t="s">
        <v>1096</v>
      </c>
      <c r="N1796" t="s">
        <v>2547</v>
      </c>
      <c r="O1796" t="s">
        <v>82</v>
      </c>
      <c r="P1796" t="str">
        <f>"4170064645                    "</f>
        <v xml:space="preserve">4170064645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43.31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137.47</v>
      </c>
      <c r="BM1796">
        <v>20.62</v>
      </c>
      <c r="BN1796">
        <v>158.09</v>
      </c>
      <c r="BO1796">
        <v>158.09</v>
      </c>
      <c r="BQ1796" t="s">
        <v>2548</v>
      </c>
      <c r="BR1796" t="s">
        <v>97</v>
      </c>
      <c r="BS1796" s="3">
        <v>45947</v>
      </c>
      <c r="BT1796" s="4">
        <v>0.43402777777777779</v>
      </c>
      <c r="BU1796" t="s">
        <v>2549</v>
      </c>
      <c r="BV1796" t="s">
        <v>86</v>
      </c>
      <c r="BY1796">
        <v>1200</v>
      </c>
      <c r="CA1796" t="s">
        <v>2550</v>
      </c>
      <c r="CC1796" t="s">
        <v>1096</v>
      </c>
      <c r="CD1796">
        <v>2302</v>
      </c>
      <c r="CE1796" t="s">
        <v>147</v>
      </c>
      <c r="CF1796" s="3">
        <v>45950</v>
      </c>
      <c r="CI1796">
        <v>1</v>
      </c>
      <c r="CJ1796">
        <v>1</v>
      </c>
      <c r="CK1796">
        <v>23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"080068563373"</f>
        <v>080068563373</v>
      </c>
      <c r="F1797" s="3">
        <v>45946</v>
      </c>
      <c r="G1797">
        <v>202607</v>
      </c>
      <c r="H1797" t="s">
        <v>79</v>
      </c>
      <c r="I1797" t="s">
        <v>80</v>
      </c>
      <c r="J1797" t="s">
        <v>91</v>
      </c>
      <c r="K1797" t="s">
        <v>78</v>
      </c>
      <c r="L1797" t="s">
        <v>121</v>
      </c>
      <c r="M1797" t="s">
        <v>122</v>
      </c>
      <c r="N1797" t="s">
        <v>154</v>
      </c>
      <c r="O1797" t="s">
        <v>82</v>
      </c>
      <c r="P1797" t="str">
        <f>"4170064561                    "</f>
        <v xml:space="preserve">4170064561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22.36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70.959999999999994</v>
      </c>
      <c r="BM1797">
        <v>10.64</v>
      </c>
      <c r="BN1797">
        <v>81.599999999999994</v>
      </c>
      <c r="BO1797">
        <v>81.599999999999994</v>
      </c>
      <c r="BQ1797" t="s">
        <v>155</v>
      </c>
      <c r="BR1797" t="s">
        <v>97</v>
      </c>
      <c r="BS1797" s="3">
        <v>45947</v>
      </c>
      <c r="BT1797" s="4">
        <v>0.75972222222222219</v>
      </c>
      <c r="BU1797" t="s">
        <v>156</v>
      </c>
      <c r="BV1797" t="s">
        <v>90</v>
      </c>
      <c r="BW1797" t="s">
        <v>136</v>
      </c>
      <c r="BX1797" t="s">
        <v>1222</v>
      </c>
      <c r="BY1797">
        <v>1200</v>
      </c>
      <c r="CA1797" t="s">
        <v>157</v>
      </c>
      <c r="CC1797" t="s">
        <v>122</v>
      </c>
      <c r="CD1797">
        <v>4052</v>
      </c>
      <c r="CE1797" t="s">
        <v>147</v>
      </c>
      <c r="CF1797" s="3">
        <v>45947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"080068563392"</f>
        <v>080068563392</v>
      </c>
      <c r="F1798" s="3">
        <v>45946</v>
      </c>
      <c r="G1798">
        <v>202607</v>
      </c>
      <c r="H1798" t="s">
        <v>79</v>
      </c>
      <c r="I1798" t="s">
        <v>80</v>
      </c>
      <c r="J1798" t="s">
        <v>91</v>
      </c>
      <c r="K1798" t="s">
        <v>78</v>
      </c>
      <c r="L1798" t="s">
        <v>406</v>
      </c>
      <c r="M1798" t="s">
        <v>407</v>
      </c>
      <c r="N1798" t="s">
        <v>797</v>
      </c>
      <c r="O1798" t="s">
        <v>226</v>
      </c>
      <c r="P1798" t="str">
        <f>"4170064527                    "</f>
        <v xml:space="preserve">4170064527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106.92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6</v>
      </c>
      <c r="BJ1798">
        <v>1.4</v>
      </c>
      <c r="BK1798">
        <v>6</v>
      </c>
      <c r="BL1798">
        <v>339.35</v>
      </c>
      <c r="BM1798">
        <v>50.9</v>
      </c>
      <c r="BN1798">
        <v>390.25</v>
      </c>
      <c r="BO1798">
        <v>390.25</v>
      </c>
      <c r="BQ1798" t="s">
        <v>798</v>
      </c>
      <c r="BR1798" t="s">
        <v>97</v>
      </c>
      <c r="BS1798" s="3">
        <v>45947</v>
      </c>
      <c r="BT1798" s="4">
        <v>0.51388888888888884</v>
      </c>
      <c r="BU1798" t="s">
        <v>2551</v>
      </c>
      <c r="BV1798" t="s">
        <v>86</v>
      </c>
      <c r="BY1798">
        <v>7000</v>
      </c>
      <c r="CA1798" t="s">
        <v>1619</v>
      </c>
      <c r="CC1798" t="s">
        <v>407</v>
      </c>
      <c r="CD1798">
        <v>1438</v>
      </c>
      <c r="CE1798" t="s">
        <v>191</v>
      </c>
      <c r="CF1798" s="3">
        <v>45948</v>
      </c>
      <c r="CI1798">
        <v>1</v>
      </c>
      <c r="CJ1798">
        <v>1</v>
      </c>
      <c r="CK1798">
        <v>34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"080068563395"</f>
        <v>080068563395</v>
      </c>
      <c r="F1799" s="3">
        <v>45946</v>
      </c>
      <c r="G1799">
        <v>202607</v>
      </c>
      <c r="H1799" t="s">
        <v>79</v>
      </c>
      <c r="I1799" t="s">
        <v>80</v>
      </c>
      <c r="J1799" t="s">
        <v>91</v>
      </c>
      <c r="K1799" t="s">
        <v>78</v>
      </c>
      <c r="L1799" t="s">
        <v>469</v>
      </c>
      <c r="M1799" t="s">
        <v>470</v>
      </c>
      <c r="N1799" t="s">
        <v>471</v>
      </c>
      <c r="O1799" t="s">
        <v>82</v>
      </c>
      <c r="P1799" t="str">
        <f>"4170064671                    "</f>
        <v xml:space="preserve">4170064671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43.31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137.47</v>
      </c>
      <c r="BM1799">
        <v>20.62</v>
      </c>
      <c r="BN1799">
        <v>158.09</v>
      </c>
      <c r="BO1799">
        <v>158.09</v>
      </c>
      <c r="BQ1799" t="s">
        <v>472</v>
      </c>
      <c r="BR1799" t="s">
        <v>97</v>
      </c>
      <c r="BS1799" s="3">
        <v>45947</v>
      </c>
      <c r="BT1799" s="4">
        <v>0.53749999999999998</v>
      </c>
      <c r="BU1799" t="s">
        <v>2488</v>
      </c>
      <c r="BV1799" t="s">
        <v>86</v>
      </c>
      <c r="BY1799">
        <v>1200</v>
      </c>
      <c r="CA1799" t="s">
        <v>474</v>
      </c>
      <c r="CC1799" t="s">
        <v>470</v>
      </c>
      <c r="CD1799">
        <v>7299</v>
      </c>
      <c r="CE1799" t="s">
        <v>147</v>
      </c>
      <c r="CF1799" s="3">
        <v>45950</v>
      </c>
      <c r="CI1799">
        <v>1</v>
      </c>
      <c r="CJ1799">
        <v>1</v>
      </c>
      <c r="CK1799">
        <v>23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"080068563432"</f>
        <v>080068563432</v>
      </c>
      <c r="F1800" s="3">
        <v>45946</v>
      </c>
      <c r="G1800">
        <v>202607</v>
      </c>
      <c r="H1800" t="s">
        <v>79</v>
      </c>
      <c r="I1800" t="s">
        <v>80</v>
      </c>
      <c r="J1800" t="s">
        <v>91</v>
      </c>
      <c r="K1800" t="s">
        <v>78</v>
      </c>
      <c r="L1800" t="s">
        <v>239</v>
      </c>
      <c r="M1800" t="s">
        <v>240</v>
      </c>
      <c r="N1800" t="s">
        <v>526</v>
      </c>
      <c r="O1800" t="s">
        <v>82</v>
      </c>
      <c r="P1800" t="str">
        <f>"4170064569                    "</f>
        <v xml:space="preserve">4170064569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43.31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1.4</v>
      </c>
      <c r="BK1800">
        <v>2</v>
      </c>
      <c r="BL1800">
        <v>137.47</v>
      </c>
      <c r="BM1800">
        <v>20.62</v>
      </c>
      <c r="BN1800">
        <v>158.09</v>
      </c>
      <c r="BO1800">
        <v>158.09</v>
      </c>
      <c r="BQ1800" t="s">
        <v>527</v>
      </c>
      <c r="BR1800" t="s">
        <v>97</v>
      </c>
      <c r="BS1800" s="3">
        <v>45947</v>
      </c>
      <c r="BT1800" s="4">
        <v>0.40763888888888888</v>
      </c>
      <c r="BU1800" t="s">
        <v>2552</v>
      </c>
      <c r="BV1800" t="s">
        <v>86</v>
      </c>
      <c r="BY1800">
        <v>7000</v>
      </c>
      <c r="CA1800" t="s">
        <v>529</v>
      </c>
      <c r="CC1800" t="s">
        <v>240</v>
      </c>
      <c r="CD1800" s="5" t="s">
        <v>245</v>
      </c>
      <c r="CE1800" t="s">
        <v>191</v>
      </c>
      <c r="CF1800" s="3">
        <v>45950</v>
      </c>
      <c r="CI1800">
        <v>1</v>
      </c>
      <c r="CJ1800">
        <v>1</v>
      </c>
      <c r="CK1800">
        <v>23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"080068563462"</f>
        <v>080068563462</v>
      </c>
      <c r="F1801" s="3">
        <v>45946</v>
      </c>
      <c r="G1801">
        <v>202607</v>
      </c>
      <c r="H1801" t="s">
        <v>79</v>
      </c>
      <c r="I1801" t="s">
        <v>80</v>
      </c>
      <c r="J1801" t="s">
        <v>91</v>
      </c>
      <c r="K1801" t="s">
        <v>78</v>
      </c>
      <c r="L1801" t="s">
        <v>322</v>
      </c>
      <c r="M1801" t="s">
        <v>322</v>
      </c>
      <c r="N1801" t="s">
        <v>481</v>
      </c>
      <c r="O1801" t="s">
        <v>82</v>
      </c>
      <c r="P1801" t="str">
        <f>"4170064651                    "</f>
        <v xml:space="preserve">4170064651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43.31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</v>
      </c>
      <c r="BJ1801">
        <v>0.7</v>
      </c>
      <c r="BK1801">
        <v>2</v>
      </c>
      <c r="BL1801">
        <v>137.47</v>
      </c>
      <c r="BM1801">
        <v>20.62</v>
      </c>
      <c r="BN1801">
        <v>158.09</v>
      </c>
      <c r="BO1801">
        <v>158.09</v>
      </c>
      <c r="BQ1801" t="s">
        <v>482</v>
      </c>
      <c r="BR1801" t="s">
        <v>97</v>
      </c>
      <c r="BS1801" s="3">
        <v>45947</v>
      </c>
      <c r="BT1801" s="4">
        <v>0.54166666666666663</v>
      </c>
      <c r="BU1801" t="s">
        <v>1402</v>
      </c>
      <c r="BV1801" t="s">
        <v>86</v>
      </c>
      <c r="BY1801">
        <v>3306</v>
      </c>
      <c r="CA1801" t="s">
        <v>326</v>
      </c>
      <c r="CC1801" t="s">
        <v>322</v>
      </c>
      <c r="CD1801">
        <v>7646</v>
      </c>
      <c r="CE1801" t="s">
        <v>191</v>
      </c>
      <c r="CF1801" s="3">
        <v>45950</v>
      </c>
      <c r="CI1801">
        <v>1</v>
      </c>
      <c r="CJ1801">
        <v>1</v>
      </c>
      <c r="CK1801">
        <v>23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"080068563508"</f>
        <v>080068563508</v>
      </c>
      <c r="F1802" s="3">
        <v>45946</v>
      </c>
      <c r="G1802">
        <v>202607</v>
      </c>
      <c r="H1802" t="s">
        <v>79</v>
      </c>
      <c r="I1802" t="s">
        <v>80</v>
      </c>
      <c r="J1802" t="s">
        <v>91</v>
      </c>
      <c r="K1802" t="s">
        <v>78</v>
      </c>
      <c r="L1802" t="s">
        <v>79</v>
      </c>
      <c r="M1802" t="s">
        <v>80</v>
      </c>
      <c r="N1802" t="s">
        <v>694</v>
      </c>
      <c r="O1802" t="s">
        <v>95</v>
      </c>
      <c r="P1802" t="str">
        <f>"4170064610                    "</f>
        <v xml:space="preserve">4170064610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36.28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8</v>
      </c>
      <c r="BJ1802">
        <v>17.7</v>
      </c>
      <c r="BK1802">
        <v>18</v>
      </c>
      <c r="BL1802">
        <v>121.03</v>
      </c>
      <c r="BM1802">
        <v>18.149999999999999</v>
      </c>
      <c r="BN1802">
        <v>139.18</v>
      </c>
      <c r="BO1802">
        <v>139.18</v>
      </c>
      <c r="BQ1802" t="s">
        <v>695</v>
      </c>
      <c r="BR1802" t="s">
        <v>97</v>
      </c>
      <c r="BS1802" s="3">
        <v>45947</v>
      </c>
      <c r="BT1802" s="4">
        <v>0.41180555555555554</v>
      </c>
      <c r="BU1802" t="s">
        <v>1697</v>
      </c>
      <c r="BV1802" t="s">
        <v>86</v>
      </c>
      <c r="BY1802">
        <v>88320</v>
      </c>
      <c r="CA1802" t="s">
        <v>88</v>
      </c>
      <c r="CC1802" t="s">
        <v>80</v>
      </c>
      <c r="CD1802">
        <v>1601</v>
      </c>
      <c r="CE1802" t="s">
        <v>191</v>
      </c>
      <c r="CF1802" s="3">
        <v>45947</v>
      </c>
      <c r="CI1802">
        <v>1</v>
      </c>
      <c r="CJ1802">
        <v>1</v>
      </c>
      <c r="CK1802">
        <v>42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"080011650227"</f>
        <v>080011650227</v>
      </c>
      <c r="F1803" s="3">
        <v>45946</v>
      </c>
      <c r="G1803">
        <v>202607</v>
      </c>
      <c r="H1803" t="s">
        <v>271</v>
      </c>
      <c r="I1803" t="s">
        <v>272</v>
      </c>
      <c r="J1803" t="s">
        <v>1532</v>
      </c>
      <c r="K1803" t="s">
        <v>78</v>
      </c>
      <c r="L1803" t="s">
        <v>79</v>
      </c>
      <c r="M1803" t="s">
        <v>80</v>
      </c>
      <c r="N1803" t="s">
        <v>81</v>
      </c>
      <c r="O1803" t="s">
        <v>82</v>
      </c>
      <c r="P1803" t="str">
        <f>"ZA1001418347                  "</f>
        <v xml:space="preserve">ZA1001418347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17.46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0.8</v>
      </c>
      <c r="BJ1803">
        <v>0.6</v>
      </c>
      <c r="BK1803">
        <v>1</v>
      </c>
      <c r="BL1803">
        <v>55.42</v>
      </c>
      <c r="BM1803">
        <v>8.31</v>
      </c>
      <c r="BN1803">
        <v>63.73</v>
      </c>
      <c r="BO1803">
        <v>63.73</v>
      </c>
      <c r="BQ1803" t="s">
        <v>83</v>
      </c>
      <c r="BR1803" t="s">
        <v>2553</v>
      </c>
      <c r="BS1803" s="3">
        <v>45947</v>
      </c>
      <c r="BT1803" s="4">
        <v>0.34027777777777779</v>
      </c>
      <c r="BU1803" t="s">
        <v>85</v>
      </c>
      <c r="BV1803" t="s">
        <v>86</v>
      </c>
      <c r="BY1803">
        <v>3171</v>
      </c>
      <c r="BZ1803" t="s">
        <v>87</v>
      </c>
      <c r="CA1803" t="s">
        <v>88</v>
      </c>
      <c r="CC1803" t="s">
        <v>80</v>
      </c>
      <c r="CD1803">
        <v>1619</v>
      </c>
      <c r="CE1803" t="s">
        <v>89</v>
      </c>
      <c r="CF1803" s="3">
        <v>45947</v>
      </c>
      <c r="CI1803">
        <v>1</v>
      </c>
      <c r="CJ1803">
        <v>1</v>
      </c>
      <c r="CK1803">
        <v>22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"080011650247"</f>
        <v>080011650247</v>
      </c>
      <c r="F1804" s="3">
        <v>45946</v>
      </c>
      <c r="G1804">
        <v>202607</v>
      </c>
      <c r="H1804" t="s">
        <v>121</v>
      </c>
      <c r="I1804" t="s">
        <v>122</v>
      </c>
      <c r="J1804" t="s">
        <v>2554</v>
      </c>
      <c r="K1804" t="s">
        <v>78</v>
      </c>
      <c r="L1804" t="s">
        <v>79</v>
      </c>
      <c r="M1804" t="s">
        <v>80</v>
      </c>
      <c r="N1804" t="s">
        <v>81</v>
      </c>
      <c r="O1804" t="s">
        <v>82</v>
      </c>
      <c r="P1804" t="str">
        <f>"ZA1001418533                  "</f>
        <v xml:space="preserve">ZA1001418533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33.520000000000003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3</v>
      </c>
      <c r="BJ1804">
        <v>2.4</v>
      </c>
      <c r="BK1804">
        <v>3</v>
      </c>
      <c r="BL1804">
        <v>106.4</v>
      </c>
      <c r="BM1804">
        <v>15.96</v>
      </c>
      <c r="BN1804">
        <v>122.36</v>
      </c>
      <c r="BO1804">
        <v>122.36</v>
      </c>
      <c r="BQ1804" t="s">
        <v>83</v>
      </c>
      <c r="BR1804" t="s">
        <v>2555</v>
      </c>
      <c r="BS1804" s="3">
        <v>45947</v>
      </c>
      <c r="BT1804" s="4">
        <v>0.33333333333333331</v>
      </c>
      <c r="BU1804" t="s">
        <v>85</v>
      </c>
      <c r="BV1804" t="s">
        <v>86</v>
      </c>
      <c r="BY1804">
        <v>12000</v>
      </c>
      <c r="BZ1804" t="s">
        <v>87</v>
      </c>
      <c r="CA1804" t="s">
        <v>88</v>
      </c>
      <c r="CC1804" t="s">
        <v>80</v>
      </c>
      <c r="CD1804">
        <v>1618</v>
      </c>
      <c r="CE1804" t="s">
        <v>89</v>
      </c>
      <c r="CF1804" s="3">
        <v>45947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"080011650554"</f>
        <v>080011650554</v>
      </c>
      <c r="F1805" s="3">
        <v>45946</v>
      </c>
      <c r="G1805">
        <v>202607</v>
      </c>
      <c r="H1805" t="s">
        <v>300</v>
      </c>
      <c r="I1805" t="s">
        <v>301</v>
      </c>
      <c r="J1805" t="s">
        <v>2556</v>
      </c>
      <c r="K1805" t="s">
        <v>78</v>
      </c>
      <c r="L1805" t="s">
        <v>79</v>
      </c>
      <c r="M1805" t="s">
        <v>80</v>
      </c>
      <c r="N1805" t="s">
        <v>81</v>
      </c>
      <c r="O1805" t="s">
        <v>95</v>
      </c>
      <c r="P1805" t="str">
        <f>"ZA1001419410                  "</f>
        <v xml:space="preserve">ZA1001419410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47.74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1.1000000000000001</v>
      </c>
      <c r="BJ1805">
        <v>1</v>
      </c>
      <c r="BK1805">
        <v>2</v>
      </c>
      <c r="BL1805">
        <v>157.4</v>
      </c>
      <c r="BM1805">
        <v>23.61</v>
      </c>
      <c r="BN1805">
        <v>181.01</v>
      </c>
      <c r="BO1805">
        <v>181.01</v>
      </c>
      <c r="BQ1805" t="s">
        <v>83</v>
      </c>
      <c r="BR1805" t="s">
        <v>2557</v>
      </c>
      <c r="BS1805" s="3">
        <v>45947</v>
      </c>
      <c r="BT1805" s="4">
        <v>0.34027777777777779</v>
      </c>
      <c r="BU1805" t="s">
        <v>85</v>
      </c>
      <c r="BV1805" t="s">
        <v>86</v>
      </c>
      <c r="BY1805">
        <v>5149.95</v>
      </c>
      <c r="BZ1805" t="s">
        <v>99</v>
      </c>
      <c r="CA1805" t="s">
        <v>88</v>
      </c>
      <c r="CC1805" t="s">
        <v>80</v>
      </c>
      <c r="CD1805">
        <v>1619</v>
      </c>
      <c r="CE1805" t="s">
        <v>89</v>
      </c>
      <c r="CF1805" s="3">
        <v>45947</v>
      </c>
      <c r="CI1805">
        <v>1</v>
      </c>
      <c r="CJ1805">
        <v>1</v>
      </c>
      <c r="CK1805">
        <v>44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"080068563663"</f>
        <v>080068563663</v>
      </c>
      <c r="F1806" s="3">
        <v>45946</v>
      </c>
      <c r="G1806">
        <v>202607</v>
      </c>
      <c r="H1806" t="s">
        <v>79</v>
      </c>
      <c r="I1806" t="s">
        <v>80</v>
      </c>
      <c r="J1806" t="s">
        <v>91</v>
      </c>
      <c r="K1806" t="s">
        <v>78</v>
      </c>
      <c r="L1806" t="s">
        <v>108</v>
      </c>
      <c r="M1806" t="s">
        <v>109</v>
      </c>
      <c r="N1806" t="s">
        <v>1091</v>
      </c>
      <c r="O1806" t="s">
        <v>82</v>
      </c>
      <c r="P1806" t="str">
        <f>"4170064637                    "</f>
        <v xml:space="preserve">4170064637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22.36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70.959999999999994</v>
      </c>
      <c r="BM1806">
        <v>10.64</v>
      </c>
      <c r="BN1806">
        <v>81.599999999999994</v>
      </c>
      <c r="BO1806">
        <v>81.599999999999994</v>
      </c>
      <c r="BQ1806" t="s">
        <v>1092</v>
      </c>
      <c r="BR1806" t="s">
        <v>97</v>
      </c>
      <c r="BS1806" s="3">
        <v>45947</v>
      </c>
      <c r="BT1806" s="4">
        <v>0.43402777777777779</v>
      </c>
      <c r="BU1806" t="s">
        <v>1560</v>
      </c>
      <c r="BV1806" t="s">
        <v>86</v>
      </c>
      <c r="BY1806">
        <v>1200</v>
      </c>
      <c r="CA1806" t="s">
        <v>113</v>
      </c>
      <c r="CC1806" t="s">
        <v>109</v>
      </c>
      <c r="CD1806">
        <v>6001</v>
      </c>
      <c r="CE1806" t="s">
        <v>147</v>
      </c>
      <c r="CF1806" s="3">
        <v>45947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"080068563684"</f>
        <v>080068563684</v>
      </c>
      <c r="F1807" s="3">
        <v>45946</v>
      </c>
      <c r="G1807">
        <v>202607</v>
      </c>
      <c r="H1807" t="s">
        <v>79</v>
      </c>
      <c r="I1807" t="s">
        <v>80</v>
      </c>
      <c r="J1807" t="s">
        <v>91</v>
      </c>
      <c r="K1807" t="s">
        <v>78</v>
      </c>
      <c r="L1807" t="s">
        <v>223</v>
      </c>
      <c r="M1807" t="s">
        <v>224</v>
      </c>
      <c r="N1807" t="s">
        <v>1464</v>
      </c>
      <c r="O1807" t="s">
        <v>82</v>
      </c>
      <c r="P1807" t="str">
        <f>"4170064542                    "</f>
        <v xml:space="preserve">4170064542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17.46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55.42</v>
      </c>
      <c r="BM1807">
        <v>8.31</v>
      </c>
      <c r="BN1807">
        <v>63.73</v>
      </c>
      <c r="BO1807">
        <v>63.73</v>
      </c>
      <c r="BQ1807" t="s">
        <v>1465</v>
      </c>
      <c r="BR1807" t="s">
        <v>97</v>
      </c>
      <c r="BS1807" s="3">
        <v>45947</v>
      </c>
      <c r="BT1807" s="4">
        <v>0.42916666666666664</v>
      </c>
      <c r="BU1807" t="s">
        <v>2518</v>
      </c>
      <c r="BV1807" t="s">
        <v>86</v>
      </c>
      <c r="BY1807">
        <v>1200</v>
      </c>
      <c r="CA1807" t="s">
        <v>1110</v>
      </c>
      <c r="CC1807" t="s">
        <v>224</v>
      </c>
      <c r="CD1807">
        <v>1459</v>
      </c>
      <c r="CE1807" t="s">
        <v>147</v>
      </c>
      <c r="CF1807" s="3">
        <v>45947</v>
      </c>
      <c r="CI1807">
        <v>1</v>
      </c>
      <c r="CJ1807">
        <v>1</v>
      </c>
      <c r="CK1807">
        <v>22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"080068563715"</f>
        <v>080068563715</v>
      </c>
      <c r="F1808" s="3">
        <v>45946</v>
      </c>
      <c r="G1808">
        <v>202607</v>
      </c>
      <c r="H1808" t="s">
        <v>79</v>
      </c>
      <c r="I1808" t="s">
        <v>80</v>
      </c>
      <c r="J1808" t="s">
        <v>91</v>
      </c>
      <c r="K1808" t="s">
        <v>78</v>
      </c>
      <c r="L1808" t="s">
        <v>306</v>
      </c>
      <c r="M1808" t="s">
        <v>307</v>
      </c>
      <c r="N1808" t="s">
        <v>636</v>
      </c>
      <c r="O1808" t="s">
        <v>82</v>
      </c>
      <c r="P1808" t="str">
        <f>"4170064655                    "</f>
        <v xml:space="preserve">4170064655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22.36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70.959999999999994</v>
      </c>
      <c r="BM1808">
        <v>10.64</v>
      </c>
      <c r="BN1808">
        <v>81.599999999999994</v>
      </c>
      <c r="BO1808">
        <v>81.599999999999994</v>
      </c>
      <c r="BQ1808" t="s">
        <v>637</v>
      </c>
      <c r="BR1808" t="s">
        <v>97</v>
      </c>
      <c r="BS1808" s="3">
        <v>45950</v>
      </c>
      <c r="BT1808" s="4">
        <v>0.59583333333333333</v>
      </c>
      <c r="BU1808" t="s">
        <v>2558</v>
      </c>
      <c r="BV1808" t="s">
        <v>90</v>
      </c>
      <c r="BW1808" t="s">
        <v>136</v>
      </c>
      <c r="BX1808" t="s">
        <v>137</v>
      </c>
      <c r="BY1808">
        <v>1200</v>
      </c>
      <c r="CA1808" t="s">
        <v>157</v>
      </c>
      <c r="CC1808" t="s">
        <v>307</v>
      </c>
      <c r="CD1808">
        <v>4113</v>
      </c>
      <c r="CE1808" t="s">
        <v>147</v>
      </c>
      <c r="CF1808" s="3">
        <v>45950</v>
      </c>
      <c r="CI1808">
        <v>1</v>
      </c>
      <c r="CJ1808">
        <v>2</v>
      </c>
      <c r="CK1808">
        <v>21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"080068563740"</f>
        <v>080068563740</v>
      </c>
      <c r="F1809" s="3">
        <v>45946</v>
      </c>
      <c r="G1809">
        <v>202607</v>
      </c>
      <c r="H1809" t="s">
        <v>79</v>
      </c>
      <c r="I1809" t="s">
        <v>80</v>
      </c>
      <c r="J1809" t="s">
        <v>91</v>
      </c>
      <c r="K1809" t="s">
        <v>78</v>
      </c>
      <c r="L1809" t="s">
        <v>108</v>
      </c>
      <c r="M1809" t="s">
        <v>109</v>
      </c>
      <c r="N1809" t="s">
        <v>2559</v>
      </c>
      <c r="O1809" t="s">
        <v>82</v>
      </c>
      <c r="P1809" t="str">
        <f>"4170064660                    "</f>
        <v xml:space="preserve">4170064660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100.54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8</v>
      </c>
      <c r="BJ1809">
        <v>8.9</v>
      </c>
      <c r="BK1809">
        <v>9</v>
      </c>
      <c r="BL1809">
        <v>319.10000000000002</v>
      </c>
      <c r="BM1809">
        <v>47.87</v>
      </c>
      <c r="BN1809">
        <v>366.97</v>
      </c>
      <c r="BO1809">
        <v>366.97</v>
      </c>
      <c r="BQ1809" t="s">
        <v>2560</v>
      </c>
      <c r="BR1809" t="s">
        <v>97</v>
      </c>
      <c r="BS1809" s="3">
        <v>45947</v>
      </c>
      <c r="BT1809" s="4">
        <v>0.36944444444444446</v>
      </c>
      <c r="BU1809" t="s">
        <v>2561</v>
      </c>
      <c r="BV1809" t="s">
        <v>86</v>
      </c>
      <c r="BY1809">
        <v>44640</v>
      </c>
      <c r="CA1809" t="s">
        <v>2562</v>
      </c>
      <c r="CC1809" t="s">
        <v>109</v>
      </c>
      <c r="CD1809">
        <v>6001</v>
      </c>
      <c r="CE1809" t="s">
        <v>191</v>
      </c>
      <c r="CF1809" s="3">
        <v>45947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"080068563742"</f>
        <v>080068563742</v>
      </c>
      <c r="F1810" s="3">
        <v>45946</v>
      </c>
      <c r="G1810">
        <v>202607</v>
      </c>
      <c r="H1810" t="s">
        <v>79</v>
      </c>
      <c r="I1810" t="s">
        <v>80</v>
      </c>
      <c r="J1810" t="s">
        <v>91</v>
      </c>
      <c r="K1810" t="s">
        <v>78</v>
      </c>
      <c r="L1810" t="s">
        <v>271</v>
      </c>
      <c r="M1810" t="s">
        <v>272</v>
      </c>
      <c r="N1810" t="s">
        <v>2563</v>
      </c>
      <c r="O1810" t="s">
        <v>82</v>
      </c>
      <c r="P1810" t="str">
        <f>"4170064662                    "</f>
        <v xml:space="preserve">4170064662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17.46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55.42</v>
      </c>
      <c r="BM1810">
        <v>8.31</v>
      </c>
      <c r="BN1810">
        <v>63.73</v>
      </c>
      <c r="BO1810">
        <v>63.73</v>
      </c>
      <c r="BQ1810" t="s">
        <v>2564</v>
      </c>
      <c r="BR1810" t="s">
        <v>97</v>
      </c>
      <c r="BS1810" s="3">
        <v>45947</v>
      </c>
      <c r="BT1810" s="4">
        <v>0.41805555555555557</v>
      </c>
      <c r="BU1810" t="s">
        <v>2565</v>
      </c>
      <c r="BV1810" t="s">
        <v>86</v>
      </c>
      <c r="BY1810">
        <v>1200</v>
      </c>
      <c r="CA1810" t="s">
        <v>661</v>
      </c>
      <c r="CC1810" t="s">
        <v>272</v>
      </c>
      <c r="CD1810">
        <v>1428</v>
      </c>
      <c r="CE1810" t="s">
        <v>147</v>
      </c>
      <c r="CF1810" s="3">
        <v>45947</v>
      </c>
      <c r="CI1810">
        <v>1</v>
      </c>
      <c r="CJ1810">
        <v>1</v>
      </c>
      <c r="CK1810">
        <v>22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"080068563765"</f>
        <v>080068563765</v>
      </c>
      <c r="F1811" s="3">
        <v>45946</v>
      </c>
      <c r="G1811">
        <v>202607</v>
      </c>
      <c r="H1811" t="s">
        <v>79</v>
      </c>
      <c r="I1811" t="s">
        <v>80</v>
      </c>
      <c r="J1811" t="s">
        <v>91</v>
      </c>
      <c r="K1811" t="s">
        <v>78</v>
      </c>
      <c r="L1811" t="s">
        <v>350</v>
      </c>
      <c r="M1811" t="s">
        <v>351</v>
      </c>
      <c r="N1811" t="s">
        <v>1908</v>
      </c>
      <c r="O1811" t="s">
        <v>82</v>
      </c>
      <c r="P1811" t="str">
        <f>"4170064654                    "</f>
        <v xml:space="preserve">4170064654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43.31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137.47</v>
      </c>
      <c r="BM1811">
        <v>20.62</v>
      </c>
      <c r="BN1811">
        <v>158.09</v>
      </c>
      <c r="BO1811">
        <v>158.09</v>
      </c>
      <c r="BQ1811" t="s">
        <v>1909</v>
      </c>
      <c r="BR1811" t="s">
        <v>97</v>
      </c>
      <c r="BS1811" s="3">
        <v>45947</v>
      </c>
      <c r="BT1811" s="4">
        <v>0.4236111111111111</v>
      </c>
      <c r="BU1811" t="s">
        <v>2515</v>
      </c>
      <c r="BV1811" t="s">
        <v>86</v>
      </c>
      <c r="BY1811">
        <v>1200</v>
      </c>
      <c r="CA1811" t="s">
        <v>355</v>
      </c>
      <c r="CC1811" t="s">
        <v>351</v>
      </c>
      <c r="CD1811" s="5" t="s">
        <v>1911</v>
      </c>
      <c r="CE1811" t="s">
        <v>147</v>
      </c>
      <c r="CF1811" s="3">
        <v>45950</v>
      </c>
      <c r="CI1811">
        <v>1</v>
      </c>
      <c r="CJ1811">
        <v>1</v>
      </c>
      <c r="CK1811">
        <v>23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"080068563777"</f>
        <v>080068563777</v>
      </c>
      <c r="F1812" s="3">
        <v>45946</v>
      </c>
      <c r="G1812">
        <v>202607</v>
      </c>
      <c r="H1812" t="s">
        <v>79</v>
      </c>
      <c r="I1812" t="s">
        <v>80</v>
      </c>
      <c r="J1812" t="s">
        <v>91</v>
      </c>
      <c r="K1812" t="s">
        <v>78</v>
      </c>
      <c r="L1812" t="s">
        <v>333</v>
      </c>
      <c r="M1812" t="s">
        <v>334</v>
      </c>
      <c r="N1812" t="s">
        <v>1388</v>
      </c>
      <c r="O1812" t="s">
        <v>82</v>
      </c>
      <c r="P1812" t="str">
        <f>"4170064658                    "</f>
        <v xml:space="preserve">4170064658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22.36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1.4</v>
      </c>
      <c r="BK1812">
        <v>1.5</v>
      </c>
      <c r="BL1812">
        <v>70.959999999999994</v>
      </c>
      <c r="BM1812">
        <v>10.64</v>
      </c>
      <c r="BN1812">
        <v>81.599999999999994</v>
      </c>
      <c r="BO1812">
        <v>81.599999999999994</v>
      </c>
      <c r="BQ1812" t="s">
        <v>1389</v>
      </c>
      <c r="BR1812" t="s">
        <v>97</v>
      </c>
      <c r="BS1812" s="3">
        <v>45947</v>
      </c>
      <c r="BT1812" s="4">
        <v>0.41111111111111109</v>
      </c>
      <c r="BU1812" t="s">
        <v>1734</v>
      </c>
      <c r="BV1812" t="s">
        <v>86</v>
      </c>
      <c r="BY1812">
        <v>7000</v>
      </c>
      <c r="CA1812" t="s">
        <v>142</v>
      </c>
      <c r="CC1812" t="s">
        <v>334</v>
      </c>
      <c r="CD1812">
        <v>6220</v>
      </c>
      <c r="CE1812" t="s">
        <v>191</v>
      </c>
      <c r="CF1812" s="3">
        <v>45947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"080068563814"</f>
        <v>080068563814</v>
      </c>
      <c r="F1813" s="3">
        <v>45946</v>
      </c>
      <c r="G1813">
        <v>202607</v>
      </c>
      <c r="H1813" t="s">
        <v>79</v>
      </c>
      <c r="I1813" t="s">
        <v>80</v>
      </c>
      <c r="J1813" t="s">
        <v>91</v>
      </c>
      <c r="K1813" t="s">
        <v>78</v>
      </c>
      <c r="L1813" t="s">
        <v>121</v>
      </c>
      <c r="M1813" t="s">
        <v>122</v>
      </c>
      <c r="N1813" t="s">
        <v>123</v>
      </c>
      <c r="O1813" t="s">
        <v>95</v>
      </c>
      <c r="P1813" t="str">
        <f>"4170064612                    "</f>
        <v xml:space="preserve">4170064612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43.23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15</v>
      </c>
      <c r="BJ1813">
        <v>5.4</v>
      </c>
      <c r="BK1813">
        <v>15</v>
      </c>
      <c r="BL1813">
        <v>143.08000000000001</v>
      </c>
      <c r="BM1813">
        <v>21.46</v>
      </c>
      <c r="BN1813">
        <v>164.54</v>
      </c>
      <c r="BO1813">
        <v>164.54</v>
      </c>
      <c r="BQ1813" t="s">
        <v>124</v>
      </c>
      <c r="BR1813" t="s">
        <v>97</v>
      </c>
      <c r="BS1813" s="3">
        <v>45947</v>
      </c>
      <c r="BT1813" s="4">
        <v>0.35555555555555557</v>
      </c>
      <c r="BU1813" t="s">
        <v>2412</v>
      </c>
      <c r="BV1813" t="s">
        <v>86</v>
      </c>
      <c r="BY1813">
        <v>27144</v>
      </c>
      <c r="CA1813" t="s">
        <v>126</v>
      </c>
      <c r="CC1813" t="s">
        <v>122</v>
      </c>
      <c r="CD1813">
        <v>4051</v>
      </c>
      <c r="CE1813" t="s">
        <v>931</v>
      </c>
      <c r="CF1813" s="3">
        <v>45947</v>
      </c>
      <c r="CI1813">
        <v>1</v>
      </c>
      <c r="CJ1813">
        <v>1</v>
      </c>
      <c r="CK1813">
        <v>41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"080068563842"</f>
        <v>080068563842</v>
      </c>
      <c r="F1814" s="3">
        <v>45946</v>
      </c>
      <c r="G1814">
        <v>202607</v>
      </c>
      <c r="H1814" t="s">
        <v>79</v>
      </c>
      <c r="I1814" t="s">
        <v>80</v>
      </c>
      <c r="J1814" t="s">
        <v>91</v>
      </c>
      <c r="K1814" t="s">
        <v>78</v>
      </c>
      <c r="L1814" t="s">
        <v>206</v>
      </c>
      <c r="M1814" t="s">
        <v>207</v>
      </c>
      <c r="N1814" t="s">
        <v>477</v>
      </c>
      <c r="O1814" t="s">
        <v>226</v>
      </c>
      <c r="P1814" t="str">
        <f>"4170064525                    "</f>
        <v xml:space="preserve">4170064525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73.36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3.4</v>
      </c>
      <c r="BK1814">
        <v>3.5</v>
      </c>
      <c r="BL1814">
        <v>232.83</v>
      </c>
      <c r="BM1814">
        <v>34.92</v>
      </c>
      <c r="BN1814">
        <v>267.75</v>
      </c>
      <c r="BO1814">
        <v>267.75</v>
      </c>
      <c r="BQ1814" t="s">
        <v>478</v>
      </c>
      <c r="BR1814" t="s">
        <v>97</v>
      </c>
      <c r="BS1814" s="3">
        <v>45947</v>
      </c>
      <c r="BT1814" s="4">
        <v>0.37013888888888891</v>
      </c>
      <c r="BU1814" t="s">
        <v>1055</v>
      </c>
      <c r="BV1814" t="s">
        <v>86</v>
      </c>
      <c r="BY1814">
        <v>17136</v>
      </c>
      <c r="CA1814" t="s">
        <v>480</v>
      </c>
      <c r="CC1814" t="s">
        <v>207</v>
      </c>
      <c r="CD1814">
        <v>7480</v>
      </c>
      <c r="CE1814" t="s">
        <v>107</v>
      </c>
      <c r="CF1814" s="3">
        <v>45950</v>
      </c>
      <c r="CI1814">
        <v>1</v>
      </c>
      <c r="CJ1814">
        <v>1</v>
      </c>
      <c r="CK1814">
        <v>31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"080068563887"</f>
        <v>080068563887</v>
      </c>
      <c r="F1815" s="3">
        <v>45946</v>
      </c>
      <c r="G1815">
        <v>202607</v>
      </c>
      <c r="H1815" t="s">
        <v>79</v>
      </c>
      <c r="I1815" t="s">
        <v>80</v>
      </c>
      <c r="J1815" t="s">
        <v>91</v>
      </c>
      <c r="K1815" t="s">
        <v>78</v>
      </c>
      <c r="L1815" t="s">
        <v>168</v>
      </c>
      <c r="M1815" t="s">
        <v>169</v>
      </c>
      <c r="N1815" t="s">
        <v>1801</v>
      </c>
      <c r="O1815" t="s">
        <v>82</v>
      </c>
      <c r="P1815" t="str">
        <f>"4170064579                    "</f>
        <v xml:space="preserve">4170064579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22.36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1.1000000000000001</v>
      </c>
      <c r="BK1815">
        <v>2</v>
      </c>
      <c r="BL1815">
        <v>70.959999999999994</v>
      </c>
      <c r="BM1815">
        <v>10.64</v>
      </c>
      <c r="BN1815">
        <v>81.599999999999994</v>
      </c>
      <c r="BO1815">
        <v>81.599999999999994</v>
      </c>
      <c r="BQ1815" t="s">
        <v>1802</v>
      </c>
      <c r="BR1815" t="s">
        <v>97</v>
      </c>
      <c r="BS1815" s="3">
        <v>45947</v>
      </c>
      <c r="BT1815" s="4">
        <v>0.39027777777777778</v>
      </c>
      <c r="BU1815" t="s">
        <v>1791</v>
      </c>
      <c r="BV1815" t="s">
        <v>86</v>
      </c>
      <c r="BY1815">
        <v>5510</v>
      </c>
      <c r="CA1815">
        <v>8110305701087</v>
      </c>
      <c r="CC1815" t="s">
        <v>169</v>
      </c>
      <c r="CD1815" s="5" t="s">
        <v>839</v>
      </c>
      <c r="CE1815" t="s">
        <v>191</v>
      </c>
      <c r="CF1815" s="3">
        <v>45947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"080068563964"</f>
        <v>080068563964</v>
      </c>
      <c r="F1816" s="3">
        <v>45946</v>
      </c>
      <c r="G1816">
        <v>202607</v>
      </c>
      <c r="H1816" t="s">
        <v>79</v>
      </c>
      <c r="I1816" t="s">
        <v>80</v>
      </c>
      <c r="J1816" t="s">
        <v>91</v>
      </c>
      <c r="K1816" t="s">
        <v>78</v>
      </c>
      <c r="L1816" t="s">
        <v>469</v>
      </c>
      <c r="M1816" t="s">
        <v>470</v>
      </c>
      <c r="N1816" t="s">
        <v>471</v>
      </c>
      <c r="O1816" t="s">
        <v>82</v>
      </c>
      <c r="P1816" t="str">
        <f>"4170064518                    "</f>
        <v xml:space="preserve">4170064518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43.31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1.2</v>
      </c>
      <c r="BK1816">
        <v>2</v>
      </c>
      <c r="BL1816">
        <v>137.47</v>
      </c>
      <c r="BM1816">
        <v>20.62</v>
      </c>
      <c r="BN1816">
        <v>158.09</v>
      </c>
      <c r="BO1816">
        <v>158.09</v>
      </c>
      <c r="BQ1816" t="s">
        <v>1724</v>
      </c>
      <c r="BR1816" t="s">
        <v>97</v>
      </c>
      <c r="BS1816" s="3">
        <v>45947</v>
      </c>
      <c r="BT1816" s="4">
        <v>0.52986111111111112</v>
      </c>
      <c r="BU1816" t="s">
        <v>2488</v>
      </c>
      <c r="BV1816" t="s">
        <v>86</v>
      </c>
      <c r="BY1816">
        <v>5760</v>
      </c>
      <c r="CA1816" t="s">
        <v>474</v>
      </c>
      <c r="CC1816" t="s">
        <v>470</v>
      </c>
      <c r="CD1816">
        <v>7300</v>
      </c>
      <c r="CE1816" t="s">
        <v>107</v>
      </c>
      <c r="CF1816" s="3">
        <v>45950</v>
      </c>
      <c r="CI1816">
        <v>1</v>
      </c>
      <c r="CJ1816">
        <v>1</v>
      </c>
      <c r="CK1816">
        <v>23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"080068564229"</f>
        <v>080068564229</v>
      </c>
      <c r="F1817" s="3">
        <v>45946</v>
      </c>
      <c r="G1817">
        <v>202607</v>
      </c>
      <c r="H1817" t="s">
        <v>79</v>
      </c>
      <c r="I1817" t="s">
        <v>80</v>
      </c>
      <c r="J1817" t="s">
        <v>91</v>
      </c>
      <c r="K1817" t="s">
        <v>78</v>
      </c>
      <c r="L1817" t="s">
        <v>114</v>
      </c>
      <c r="M1817" t="s">
        <v>115</v>
      </c>
      <c r="N1817" t="s">
        <v>746</v>
      </c>
      <c r="O1817" t="s">
        <v>82</v>
      </c>
      <c r="P1817" t="str">
        <f>"4170064635                    "</f>
        <v xml:space="preserve">4170064635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22.36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70.959999999999994</v>
      </c>
      <c r="BM1817">
        <v>10.64</v>
      </c>
      <c r="BN1817">
        <v>81.599999999999994</v>
      </c>
      <c r="BO1817">
        <v>81.599999999999994</v>
      </c>
      <c r="BQ1817" t="s">
        <v>747</v>
      </c>
      <c r="BR1817" t="s">
        <v>97</v>
      </c>
      <c r="BS1817" s="3">
        <v>45947</v>
      </c>
      <c r="BT1817" s="4">
        <v>0.48749999999999999</v>
      </c>
      <c r="BU1817" t="s">
        <v>1863</v>
      </c>
      <c r="BV1817" t="s">
        <v>90</v>
      </c>
      <c r="BY1817">
        <v>1200</v>
      </c>
      <c r="CA1817" t="s">
        <v>749</v>
      </c>
      <c r="CC1817" t="s">
        <v>115</v>
      </c>
      <c r="CD1817">
        <v>5200</v>
      </c>
      <c r="CE1817" t="s">
        <v>147</v>
      </c>
      <c r="CF1817" s="3">
        <v>45947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"080068564257"</f>
        <v>080068564257</v>
      </c>
      <c r="F1818" s="3">
        <v>45946</v>
      </c>
      <c r="G1818">
        <v>202607</v>
      </c>
      <c r="H1818" t="s">
        <v>79</v>
      </c>
      <c r="I1818" t="s">
        <v>80</v>
      </c>
      <c r="J1818" t="s">
        <v>91</v>
      </c>
      <c r="K1818" t="s">
        <v>78</v>
      </c>
      <c r="L1818" t="s">
        <v>453</v>
      </c>
      <c r="M1818" t="s">
        <v>454</v>
      </c>
      <c r="N1818" t="s">
        <v>581</v>
      </c>
      <c r="O1818" t="s">
        <v>95</v>
      </c>
      <c r="P1818" t="str">
        <f>"4170064595                    "</f>
        <v xml:space="preserve">4170064595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57.51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9</v>
      </c>
      <c r="BJ1818">
        <v>22.1</v>
      </c>
      <c r="BK1818">
        <v>23</v>
      </c>
      <c r="BL1818">
        <v>188.4</v>
      </c>
      <c r="BM1818">
        <v>28.26</v>
      </c>
      <c r="BN1818">
        <v>216.66</v>
      </c>
      <c r="BO1818">
        <v>216.66</v>
      </c>
      <c r="BQ1818" t="s">
        <v>582</v>
      </c>
      <c r="BR1818" t="s">
        <v>97</v>
      </c>
      <c r="BS1818" s="3">
        <v>45947</v>
      </c>
      <c r="BT1818" s="4">
        <v>0.47916666666666669</v>
      </c>
      <c r="BU1818" t="s">
        <v>583</v>
      </c>
      <c r="BV1818" t="s">
        <v>86</v>
      </c>
      <c r="BY1818">
        <v>110700</v>
      </c>
      <c r="CA1818" t="s">
        <v>742</v>
      </c>
      <c r="CC1818" t="s">
        <v>454</v>
      </c>
      <c r="CD1818">
        <v>3610</v>
      </c>
      <c r="CE1818" t="s">
        <v>191</v>
      </c>
      <c r="CF1818" s="3">
        <v>45948</v>
      </c>
      <c r="CI1818">
        <v>1</v>
      </c>
      <c r="CJ1818">
        <v>1</v>
      </c>
      <c r="CK1818">
        <v>41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"080068564267"</f>
        <v>080068564267</v>
      </c>
      <c r="F1819" s="3">
        <v>45946</v>
      </c>
      <c r="G1819">
        <v>202607</v>
      </c>
      <c r="H1819" t="s">
        <v>79</v>
      </c>
      <c r="I1819" t="s">
        <v>80</v>
      </c>
      <c r="J1819" t="s">
        <v>91</v>
      </c>
      <c r="K1819" t="s">
        <v>78</v>
      </c>
      <c r="L1819" t="s">
        <v>2566</v>
      </c>
      <c r="M1819" t="s">
        <v>2567</v>
      </c>
      <c r="N1819" t="s">
        <v>2568</v>
      </c>
      <c r="O1819" t="s">
        <v>82</v>
      </c>
      <c r="P1819" t="str">
        <f>"4170064673                    "</f>
        <v xml:space="preserve">4170064673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43.31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137.47</v>
      </c>
      <c r="BM1819">
        <v>20.62</v>
      </c>
      <c r="BN1819">
        <v>158.09</v>
      </c>
      <c r="BO1819">
        <v>158.09</v>
      </c>
      <c r="BQ1819" t="s">
        <v>2569</v>
      </c>
      <c r="BR1819" t="s">
        <v>97</v>
      </c>
      <c r="BS1819" s="3">
        <v>45954</v>
      </c>
      <c r="BT1819" s="4">
        <v>0.55694444444444446</v>
      </c>
      <c r="BU1819" t="s">
        <v>2102</v>
      </c>
      <c r="BV1819" t="s">
        <v>90</v>
      </c>
      <c r="BW1819" t="s">
        <v>2570</v>
      </c>
      <c r="BX1819" t="s">
        <v>2571</v>
      </c>
      <c r="BY1819">
        <v>1200</v>
      </c>
      <c r="CC1819" t="s">
        <v>2567</v>
      </c>
      <c r="CD1819">
        <v>8801</v>
      </c>
      <c r="CE1819" t="s">
        <v>147</v>
      </c>
      <c r="CF1819" s="3">
        <v>45957</v>
      </c>
      <c r="CI1819">
        <v>2</v>
      </c>
      <c r="CJ1819">
        <v>6</v>
      </c>
      <c r="CK1819">
        <v>23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"080068564290"</f>
        <v>080068564290</v>
      </c>
      <c r="F1820" s="3">
        <v>45946</v>
      </c>
      <c r="G1820">
        <v>202607</v>
      </c>
      <c r="H1820" t="s">
        <v>79</v>
      </c>
      <c r="I1820" t="s">
        <v>80</v>
      </c>
      <c r="J1820" t="s">
        <v>91</v>
      </c>
      <c r="K1820" t="s">
        <v>78</v>
      </c>
      <c r="L1820" t="s">
        <v>92</v>
      </c>
      <c r="M1820" t="s">
        <v>93</v>
      </c>
      <c r="N1820" t="s">
        <v>597</v>
      </c>
      <c r="O1820" t="s">
        <v>82</v>
      </c>
      <c r="P1820" t="str">
        <f>"4170064641                    "</f>
        <v xml:space="preserve">4170064641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22.36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70.959999999999994</v>
      </c>
      <c r="BM1820">
        <v>10.64</v>
      </c>
      <c r="BN1820">
        <v>81.599999999999994</v>
      </c>
      <c r="BO1820">
        <v>81.599999999999994</v>
      </c>
      <c r="BQ1820" t="s">
        <v>598</v>
      </c>
      <c r="BR1820" t="s">
        <v>97</v>
      </c>
      <c r="BS1820" s="3">
        <v>45947</v>
      </c>
      <c r="BT1820" s="4">
        <v>0.44236111111111109</v>
      </c>
      <c r="BU1820" t="s">
        <v>599</v>
      </c>
      <c r="BV1820" t="s">
        <v>86</v>
      </c>
      <c r="BY1820">
        <v>1200</v>
      </c>
      <c r="CA1820" t="s">
        <v>600</v>
      </c>
      <c r="CC1820" t="s">
        <v>93</v>
      </c>
      <c r="CD1820">
        <v>3201</v>
      </c>
      <c r="CE1820" t="s">
        <v>147</v>
      </c>
      <c r="CF1820" s="3">
        <v>45948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"080068564301"</f>
        <v>080068564301</v>
      </c>
      <c r="F1821" s="3">
        <v>45946</v>
      </c>
      <c r="G1821">
        <v>202607</v>
      </c>
      <c r="H1821" t="s">
        <v>79</v>
      </c>
      <c r="I1821" t="s">
        <v>80</v>
      </c>
      <c r="J1821" t="s">
        <v>91</v>
      </c>
      <c r="K1821" t="s">
        <v>78</v>
      </c>
      <c r="L1821" t="s">
        <v>206</v>
      </c>
      <c r="M1821" t="s">
        <v>207</v>
      </c>
      <c r="N1821" t="s">
        <v>1827</v>
      </c>
      <c r="O1821" t="s">
        <v>82</v>
      </c>
      <c r="P1821" t="str">
        <f>"4170064572                    "</f>
        <v xml:space="preserve">4170064572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44.69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4</v>
      </c>
      <c r="BJ1821">
        <v>1.9</v>
      </c>
      <c r="BK1821">
        <v>4</v>
      </c>
      <c r="BL1821">
        <v>141.85</v>
      </c>
      <c r="BM1821">
        <v>21.28</v>
      </c>
      <c r="BN1821">
        <v>163.13</v>
      </c>
      <c r="BO1821">
        <v>163.13</v>
      </c>
      <c r="BQ1821" t="s">
        <v>1828</v>
      </c>
      <c r="BR1821" t="s">
        <v>97</v>
      </c>
      <c r="BS1821" s="3">
        <v>45947</v>
      </c>
      <c r="BT1821" s="4">
        <v>0.3576388888888889</v>
      </c>
      <c r="BU1821" t="s">
        <v>1829</v>
      </c>
      <c r="BV1821" t="s">
        <v>86</v>
      </c>
      <c r="BY1821">
        <v>9600</v>
      </c>
      <c r="CA1821" t="s">
        <v>415</v>
      </c>
      <c r="CC1821" t="s">
        <v>207</v>
      </c>
      <c r="CD1821">
        <v>7499</v>
      </c>
      <c r="CE1821" t="s">
        <v>191</v>
      </c>
      <c r="CF1821" s="3">
        <v>45950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"080068564316"</f>
        <v>080068564316</v>
      </c>
      <c r="F1822" s="3">
        <v>45946</v>
      </c>
      <c r="G1822">
        <v>202607</v>
      </c>
      <c r="H1822" t="s">
        <v>79</v>
      </c>
      <c r="I1822" t="s">
        <v>80</v>
      </c>
      <c r="J1822" t="s">
        <v>91</v>
      </c>
      <c r="K1822" t="s">
        <v>78</v>
      </c>
      <c r="L1822" t="s">
        <v>108</v>
      </c>
      <c r="M1822" t="s">
        <v>109</v>
      </c>
      <c r="N1822" t="s">
        <v>515</v>
      </c>
      <c r="O1822" t="s">
        <v>82</v>
      </c>
      <c r="P1822" t="str">
        <f>"4170064513                    "</f>
        <v xml:space="preserve">4170064513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22.36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70.959999999999994</v>
      </c>
      <c r="BM1822">
        <v>10.64</v>
      </c>
      <c r="BN1822">
        <v>81.599999999999994</v>
      </c>
      <c r="BO1822">
        <v>81.599999999999994</v>
      </c>
      <c r="BQ1822" t="s">
        <v>516</v>
      </c>
      <c r="BR1822" t="s">
        <v>97</v>
      </c>
      <c r="BS1822" s="3">
        <v>45947</v>
      </c>
      <c r="BT1822" s="4">
        <v>0.42916666666666664</v>
      </c>
      <c r="BU1822" t="s">
        <v>517</v>
      </c>
      <c r="BV1822" t="s">
        <v>86</v>
      </c>
      <c r="BY1822">
        <v>1200</v>
      </c>
      <c r="CA1822" t="s">
        <v>113</v>
      </c>
      <c r="CC1822" t="s">
        <v>109</v>
      </c>
      <c r="CD1822">
        <v>6001</v>
      </c>
      <c r="CE1822" t="s">
        <v>147</v>
      </c>
      <c r="CF1822" s="3">
        <v>45947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"080068564332"</f>
        <v>080068564332</v>
      </c>
      <c r="F1823" s="3">
        <v>45946</v>
      </c>
      <c r="G1823">
        <v>202607</v>
      </c>
      <c r="H1823" t="s">
        <v>79</v>
      </c>
      <c r="I1823" t="s">
        <v>80</v>
      </c>
      <c r="J1823" t="s">
        <v>91</v>
      </c>
      <c r="K1823" t="s">
        <v>78</v>
      </c>
      <c r="L1823" t="s">
        <v>108</v>
      </c>
      <c r="M1823" t="s">
        <v>109</v>
      </c>
      <c r="N1823" t="s">
        <v>515</v>
      </c>
      <c r="O1823" t="s">
        <v>82</v>
      </c>
      <c r="P1823" t="str">
        <f>"4170064611                    "</f>
        <v xml:space="preserve">4170064611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22.36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70.959999999999994</v>
      </c>
      <c r="BM1823">
        <v>10.64</v>
      </c>
      <c r="BN1823">
        <v>81.599999999999994</v>
      </c>
      <c r="BO1823">
        <v>81.599999999999994</v>
      </c>
      <c r="BQ1823" t="s">
        <v>516</v>
      </c>
      <c r="BR1823" t="s">
        <v>97</v>
      </c>
      <c r="BS1823" s="3">
        <v>45947</v>
      </c>
      <c r="BT1823" s="4">
        <v>0.42916666666666664</v>
      </c>
      <c r="BU1823" t="s">
        <v>517</v>
      </c>
      <c r="BV1823" t="s">
        <v>86</v>
      </c>
      <c r="BY1823">
        <v>1200</v>
      </c>
      <c r="CA1823" t="s">
        <v>113</v>
      </c>
      <c r="CC1823" t="s">
        <v>109</v>
      </c>
      <c r="CD1823">
        <v>6001</v>
      </c>
      <c r="CE1823" t="s">
        <v>147</v>
      </c>
      <c r="CF1823" s="3">
        <v>45947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"080068564339"</f>
        <v>080068564339</v>
      </c>
      <c r="F1824" s="3">
        <v>45946</v>
      </c>
      <c r="G1824">
        <v>202607</v>
      </c>
      <c r="H1824" t="s">
        <v>79</v>
      </c>
      <c r="I1824" t="s">
        <v>80</v>
      </c>
      <c r="J1824" t="s">
        <v>91</v>
      </c>
      <c r="K1824" t="s">
        <v>78</v>
      </c>
      <c r="L1824" t="s">
        <v>453</v>
      </c>
      <c r="M1824" t="s">
        <v>454</v>
      </c>
      <c r="N1824" t="s">
        <v>639</v>
      </c>
      <c r="O1824" t="s">
        <v>82</v>
      </c>
      <c r="P1824" t="str">
        <f>"4170064504                    "</f>
        <v xml:space="preserve">4170064504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78.2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2</v>
      </c>
      <c r="BI1824">
        <v>2</v>
      </c>
      <c r="BJ1824">
        <v>6.7</v>
      </c>
      <c r="BK1824">
        <v>7</v>
      </c>
      <c r="BL1824">
        <v>248.2</v>
      </c>
      <c r="BM1824">
        <v>37.229999999999997</v>
      </c>
      <c r="BN1824">
        <v>285.43</v>
      </c>
      <c r="BO1824">
        <v>285.43</v>
      </c>
      <c r="BQ1824" t="s">
        <v>640</v>
      </c>
      <c r="BR1824" t="s">
        <v>97</v>
      </c>
      <c r="BS1824" s="3">
        <v>45947</v>
      </c>
      <c r="BT1824" s="4">
        <v>0.43402777777777779</v>
      </c>
      <c r="BU1824" t="s">
        <v>641</v>
      </c>
      <c r="BV1824" t="s">
        <v>86</v>
      </c>
      <c r="BY1824">
        <v>33664</v>
      </c>
      <c r="CA1824" t="s">
        <v>457</v>
      </c>
      <c r="CC1824" t="s">
        <v>454</v>
      </c>
      <c r="CD1824">
        <v>3610</v>
      </c>
      <c r="CE1824" t="s">
        <v>191</v>
      </c>
      <c r="CF1824" s="3">
        <v>45947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"080068564357"</f>
        <v>080068564357</v>
      </c>
      <c r="F1825" s="3">
        <v>45946</v>
      </c>
      <c r="G1825">
        <v>202607</v>
      </c>
      <c r="H1825" t="s">
        <v>79</v>
      </c>
      <c r="I1825" t="s">
        <v>80</v>
      </c>
      <c r="J1825" t="s">
        <v>91</v>
      </c>
      <c r="K1825" t="s">
        <v>78</v>
      </c>
      <c r="L1825" t="s">
        <v>206</v>
      </c>
      <c r="M1825" t="s">
        <v>207</v>
      </c>
      <c r="N1825" t="s">
        <v>2572</v>
      </c>
      <c r="O1825" t="s">
        <v>82</v>
      </c>
      <c r="P1825" t="str">
        <f>"4170064576                    "</f>
        <v xml:space="preserve">4170064576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22.36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70.959999999999994</v>
      </c>
      <c r="BM1825">
        <v>10.64</v>
      </c>
      <c r="BN1825">
        <v>81.599999999999994</v>
      </c>
      <c r="BO1825">
        <v>81.599999999999994</v>
      </c>
      <c r="BQ1825" t="s">
        <v>2573</v>
      </c>
      <c r="BR1825" t="s">
        <v>97</v>
      </c>
      <c r="BS1825" s="3">
        <v>45947</v>
      </c>
      <c r="BT1825" s="4">
        <v>0.38055555555555554</v>
      </c>
      <c r="BU1825" t="s">
        <v>378</v>
      </c>
      <c r="BV1825" t="s">
        <v>86</v>
      </c>
      <c r="BY1825">
        <v>1200</v>
      </c>
      <c r="CA1825" t="s">
        <v>211</v>
      </c>
      <c r="CC1825" t="s">
        <v>207</v>
      </c>
      <c r="CD1825">
        <v>7441</v>
      </c>
      <c r="CE1825" t="s">
        <v>147</v>
      </c>
      <c r="CF1825" s="3">
        <v>45950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"080068564376"</f>
        <v>080068564376</v>
      </c>
      <c r="F1826" s="3">
        <v>45946</v>
      </c>
      <c r="G1826">
        <v>202607</v>
      </c>
      <c r="H1826" t="s">
        <v>79</v>
      </c>
      <c r="I1826" t="s">
        <v>80</v>
      </c>
      <c r="J1826" t="s">
        <v>91</v>
      </c>
      <c r="K1826" t="s">
        <v>78</v>
      </c>
      <c r="L1826" t="s">
        <v>1008</v>
      </c>
      <c r="M1826" t="s">
        <v>1009</v>
      </c>
      <c r="N1826" t="s">
        <v>1010</v>
      </c>
      <c r="O1826" t="s">
        <v>226</v>
      </c>
      <c r="P1826" t="str">
        <f>"4170064620                    "</f>
        <v xml:space="preserve">4170064620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88.05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2</v>
      </c>
      <c r="BJ1826">
        <v>4.8</v>
      </c>
      <c r="BK1826">
        <v>5</v>
      </c>
      <c r="BL1826">
        <v>279.45999999999998</v>
      </c>
      <c r="BM1826">
        <v>41.92</v>
      </c>
      <c r="BN1826">
        <v>321.38</v>
      </c>
      <c r="BO1826">
        <v>321.38</v>
      </c>
      <c r="BQ1826" t="s">
        <v>1011</v>
      </c>
      <c r="BR1826" t="s">
        <v>97</v>
      </c>
      <c r="BS1826" s="3">
        <v>45947</v>
      </c>
      <c r="BT1826" s="4">
        <v>0.28402777777777777</v>
      </c>
      <c r="BU1826" t="s">
        <v>2574</v>
      </c>
      <c r="BV1826" t="s">
        <v>86</v>
      </c>
      <c r="BY1826">
        <v>23751</v>
      </c>
      <c r="CA1826" t="s">
        <v>1013</v>
      </c>
      <c r="CC1826" t="s">
        <v>1009</v>
      </c>
      <c r="CD1826">
        <v>1759</v>
      </c>
      <c r="CE1826" t="s">
        <v>191</v>
      </c>
      <c r="CF1826" s="3">
        <v>45947</v>
      </c>
      <c r="CI1826">
        <v>1</v>
      </c>
      <c r="CJ1826">
        <v>1</v>
      </c>
      <c r="CK1826">
        <v>34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"080068564390"</f>
        <v>080068564390</v>
      </c>
      <c r="F1827" s="3">
        <v>45946</v>
      </c>
      <c r="G1827">
        <v>202607</v>
      </c>
      <c r="H1827" t="s">
        <v>79</v>
      </c>
      <c r="I1827" t="s">
        <v>80</v>
      </c>
      <c r="J1827" t="s">
        <v>91</v>
      </c>
      <c r="K1827" t="s">
        <v>78</v>
      </c>
      <c r="L1827" t="s">
        <v>271</v>
      </c>
      <c r="M1827" t="s">
        <v>272</v>
      </c>
      <c r="N1827" t="s">
        <v>2563</v>
      </c>
      <c r="O1827" t="s">
        <v>82</v>
      </c>
      <c r="P1827" t="str">
        <f>"4170064670                    "</f>
        <v xml:space="preserve">4170064670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17.46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55.42</v>
      </c>
      <c r="BM1827">
        <v>8.31</v>
      </c>
      <c r="BN1827">
        <v>63.73</v>
      </c>
      <c r="BO1827">
        <v>63.73</v>
      </c>
      <c r="BQ1827" t="s">
        <v>2564</v>
      </c>
      <c r="BR1827" t="s">
        <v>97</v>
      </c>
      <c r="BS1827" s="3">
        <v>45947</v>
      </c>
      <c r="BT1827" s="4">
        <v>0.41805555555555557</v>
      </c>
      <c r="BU1827" t="s">
        <v>2565</v>
      </c>
      <c r="BV1827" t="s">
        <v>86</v>
      </c>
      <c r="BY1827">
        <v>1200</v>
      </c>
      <c r="CA1827" t="s">
        <v>661</v>
      </c>
      <c r="CC1827" t="s">
        <v>272</v>
      </c>
      <c r="CD1827">
        <v>1428</v>
      </c>
      <c r="CE1827" t="s">
        <v>147</v>
      </c>
      <c r="CF1827" s="3">
        <v>45947</v>
      </c>
      <c r="CI1827">
        <v>1</v>
      </c>
      <c r="CJ1827">
        <v>1</v>
      </c>
      <c r="CK1827">
        <v>22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"080068564416"</f>
        <v>080068564416</v>
      </c>
      <c r="F1828" s="3">
        <v>45946</v>
      </c>
      <c r="G1828">
        <v>202607</v>
      </c>
      <c r="H1828" t="s">
        <v>79</v>
      </c>
      <c r="I1828" t="s">
        <v>80</v>
      </c>
      <c r="J1828" t="s">
        <v>91</v>
      </c>
      <c r="K1828" t="s">
        <v>78</v>
      </c>
      <c r="L1828" t="s">
        <v>453</v>
      </c>
      <c r="M1828" t="s">
        <v>454</v>
      </c>
      <c r="N1828" t="s">
        <v>1223</v>
      </c>
      <c r="O1828" t="s">
        <v>82</v>
      </c>
      <c r="P1828" t="str">
        <f>"4170064666                    "</f>
        <v xml:space="preserve">4170064666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22.36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70.959999999999994</v>
      </c>
      <c r="BM1828">
        <v>10.64</v>
      </c>
      <c r="BN1828">
        <v>81.599999999999994</v>
      </c>
      <c r="BO1828">
        <v>81.599999999999994</v>
      </c>
      <c r="BQ1828" t="s">
        <v>1224</v>
      </c>
      <c r="BR1828" t="s">
        <v>97</v>
      </c>
      <c r="BS1828" s="3">
        <v>45947</v>
      </c>
      <c r="BT1828" s="4">
        <v>0.55555555555555558</v>
      </c>
      <c r="BU1828" t="s">
        <v>2575</v>
      </c>
      <c r="BV1828" t="s">
        <v>90</v>
      </c>
      <c r="BW1828" t="s">
        <v>136</v>
      </c>
      <c r="BX1828" t="s">
        <v>1222</v>
      </c>
      <c r="BY1828">
        <v>1200</v>
      </c>
      <c r="CA1828" t="s">
        <v>2576</v>
      </c>
      <c r="CC1828" t="s">
        <v>454</v>
      </c>
      <c r="CD1828">
        <v>3610</v>
      </c>
      <c r="CE1828" t="s">
        <v>147</v>
      </c>
      <c r="CF1828" s="3">
        <v>45947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"080068564636"</f>
        <v>080068564636</v>
      </c>
      <c r="F1829" s="3">
        <v>45946</v>
      </c>
      <c r="G1829">
        <v>202607</v>
      </c>
      <c r="H1829" t="s">
        <v>79</v>
      </c>
      <c r="I1829" t="s">
        <v>80</v>
      </c>
      <c r="J1829" t="s">
        <v>91</v>
      </c>
      <c r="K1829" t="s">
        <v>78</v>
      </c>
      <c r="L1829" t="s">
        <v>333</v>
      </c>
      <c r="M1829" t="s">
        <v>334</v>
      </c>
      <c r="N1829" t="s">
        <v>794</v>
      </c>
      <c r="O1829" t="s">
        <v>82</v>
      </c>
      <c r="P1829" t="str">
        <f>"4170064519                    "</f>
        <v xml:space="preserve">4170064519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22.36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70.959999999999994</v>
      </c>
      <c r="BM1829">
        <v>10.64</v>
      </c>
      <c r="BN1829">
        <v>81.599999999999994</v>
      </c>
      <c r="BO1829">
        <v>81.599999999999994</v>
      </c>
      <c r="BQ1829" t="s">
        <v>795</v>
      </c>
      <c r="BR1829" t="s">
        <v>97</v>
      </c>
      <c r="BS1829" s="3">
        <v>45947</v>
      </c>
      <c r="BT1829" s="4">
        <v>0.4284722222222222</v>
      </c>
      <c r="BU1829" t="s">
        <v>796</v>
      </c>
      <c r="BV1829" t="s">
        <v>86</v>
      </c>
      <c r="BY1829">
        <v>1200</v>
      </c>
      <c r="CA1829" t="s">
        <v>142</v>
      </c>
      <c r="CC1829" t="s">
        <v>334</v>
      </c>
      <c r="CD1829">
        <v>6220</v>
      </c>
      <c r="CE1829" t="s">
        <v>147</v>
      </c>
      <c r="CF1829" s="3">
        <v>45947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"080068564673"</f>
        <v>080068564673</v>
      </c>
      <c r="F1830" s="3">
        <v>45946</v>
      </c>
      <c r="G1830">
        <v>202607</v>
      </c>
      <c r="H1830" t="s">
        <v>79</v>
      </c>
      <c r="I1830" t="s">
        <v>80</v>
      </c>
      <c r="J1830" t="s">
        <v>91</v>
      </c>
      <c r="K1830" t="s">
        <v>78</v>
      </c>
      <c r="L1830" t="s">
        <v>174</v>
      </c>
      <c r="M1830" t="s">
        <v>175</v>
      </c>
      <c r="N1830" t="s">
        <v>1126</v>
      </c>
      <c r="O1830" t="s">
        <v>82</v>
      </c>
      <c r="P1830" t="str">
        <f>"4170064639                    "</f>
        <v xml:space="preserve">4170064639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17.46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55.42</v>
      </c>
      <c r="BM1830">
        <v>8.31</v>
      </c>
      <c r="BN1830">
        <v>63.73</v>
      </c>
      <c r="BO1830">
        <v>63.73</v>
      </c>
      <c r="BQ1830" t="s">
        <v>1127</v>
      </c>
      <c r="BR1830" t="s">
        <v>97</v>
      </c>
      <c r="BS1830" s="3">
        <v>45947</v>
      </c>
      <c r="BT1830" s="4">
        <v>0.37291666666666667</v>
      </c>
      <c r="BU1830" t="s">
        <v>2577</v>
      </c>
      <c r="BV1830" t="s">
        <v>86</v>
      </c>
      <c r="BY1830">
        <v>1200</v>
      </c>
      <c r="CA1830" t="s">
        <v>984</v>
      </c>
      <c r="CC1830" t="s">
        <v>175</v>
      </c>
      <c r="CD1830">
        <v>1541</v>
      </c>
      <c r="CE1830" t="s">
        <v>147</v>
      </c>
      <c r="CF1830" s="3">
        <v>45947</v>
      </c>
      <c r="CI1830">
        <v>1</v>
      </c>
      <c r="CJ1830">
        <v>1</v>
      </c>
      <c r="CK1830">
        <v>22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"080068564721"</f>
        <v>080068564721</v>
      </c>
      <c r="F1831" s="3">
        <v>45946</v>
      </c>
      <c r="G1831">
        <v>202607</v>
      </c>
      <c r="H1831" t="s">
        <v>79</v>
      </c>
      <c r="I1831" t="s">
        <v>80</v>
      </c>
      <c r="J1831" t="s">
        <v>91</v>
      </c>
      <c r="K1831" t="s">
        <v>78</v>
      </c>
      <c r="L1831" t="s">
        <v>218</v>
      </c>
      <c r="M1831" t="s">
        <v>219</v>
      </c>
      <c r="N1831" t="s">
        <v>1431</v>
      </c>
      <c r="O1831" t="s">
        <v>226</v>
      </c>
      <c r="P1831" t="str">
        <f>"4170064559                    "</f>
        <v xml:space="preserve">4170064559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17.47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5</v>
      </c>
      <c r="BJ1831">
        <v>6.5</v>
      </c>
      <c r="BK1831">
        <v>7</v>
      </c>
      <c r="BL1831">
        <v>55.44</v>
      </c>
      <c r="BM1831">
        <v>8.32</v>
      </c>
      <c r="BN1831">
        <v>63.76</v>
      </c>
      <c r="BO1831">
        <v>63.76</v>
      </c>
      <c r="BQ1831" t="s">
        <v>1432</v>
      </c>
      <c r="BR1831" t="s">
        <v>97</v>
      </c>
      <c r="BS1831" s="3">
        <v>45947</v>
      </c>
      <c r="BT1831" s="4">
        <v>0.30555555555555558</v>
      </c>
      <c r="BU1831" t="s">
        <v>2578</v>
      </c>
      <c r="BV1831" t="s">
        <v>86</v>
      </c>
      <c r="BY1831">
        <v>32500</v>
      </c>
      <c r="CA1831" t="s">
        <v>1434</v>
      </c>
      <c r="CC1831" t="s">
        <v>219</v>
      </c>
      <c r="CD1831">
        <v>1559</v>
      </c>
      <c r="CE1831" t="s">
        <v>107</v>
      </c>
      <c r="CF1831" s="3">
        <v>45947</v>
      </c>
      <c r="CI1831">
        <v>1</v>
      </c>
      <c r="CJ1831">
        <v>1</v>
      </c>
      <c r="CK1831">
        <v>32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"080068564779"</f>
        <v>080068564779</v>
      </c>
      <c r="F1832" s="3">
        <v>45946</v>
      </c>
      <c r="G1832">
        <v>202607</v>
      </c>
      <c r="H1832" t="s">
        <v>79</v>
      </c>
      <c r="I1832" t="s">
        <v>80</v>
      </c>
      <c r="J1832" t="s">
        <v>91</v>
      </c>
      <c r="K1832" t="s">
        <v>78</v>
      </c>
      <c r="L1832" t="s">
        <v>92</v>
      </c>
      <c r="M1832" t="s">
        <v>93</v>
      </c>
      <c r="N1832" t="s">
        <v>601</v>
      </c>
      <c r="O1832" t="s">
        <v>82</v>
      </c>
      <c r="P1832" t="str">
        <f>"4170064548                    "</f>
        <v xml:space="preserve">4170064548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33.520000000000003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</v>
      </c>
      <c r="BJ1832">
        <v>1.9</v>
      </c>
      <c r="BK1832">
        <v>3</v>
      </c>
      <c r="BL1832">
        <v>106.4</v>
      </c>
      <c r="BM1832">
        <v>15.96</v>
      </c>
      <c r="BN1832">
        <v>122.36</v>
      </c>
      <c r="BO1832">
        <v>122.36</v>
      </c>
      <c r="BQ1832" t="s">
        <v>602</v>
      </c>
      <c r="BR1832" t="s">
        <v>97</v>
      </c>
      <c r="BS1832" s="3">
        <v>45947</v>
      </c>
      <c r="BT1832" s="4">
        <v>0.43333333333333335</v>
      </c>
      <c r="BU1832" t="s">
        <v>852</v>
      </c>
      <c r="BV1832" t="s">
        <v>86</v>
      </c>
      <c r="BY1832">
        <v>9600</v>
      </c>
      <c r="CC1832" t="s">
        <v>93</v>
      </c>
      <c r="CD1832">
        <v>3212</v>
      </c>
      <c r="CE1832" t="s">
        <v>191</v>
      </c>
      <c r="CF1832" s="3">
        <v>45947</v>
      </c>
      <c r="CI1832">
        <v>2</v>
      </c>
      <c r="CJ1832">
        <v>1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"080068564829"</f>
        <v>080068564829</v>
      </c>
      <c r="F1833" s="3">
        <v>45946</v>
      </c>
      <c r="G1833">
        <v>202607</v>
      </c>
      <c r="H1833" t="s">
        <v>79</v>
      </c>
      <c r="I1833" t="s">
        <v>80</v>
      </c>
      <c r="J1833" t="s">
        <v>91</v>
      </c>
      <c r="K1833" t="s">
        <v>78</v>
      </c>
      <c r="L1833" t="s">
        <v>168</v>
      </c>
      <c r="M1833" t="s">
        <v>169</v>
      </c>
      <c r="N1833" t="s">
        <v>836</v>
      </c>
      <c r="O1833" t="s">
        <v>82</v>
      </c>
      <c r="P1833" t="str">
        <f>"4170064516                    "</f>
        <v xml:space="preserve">4170064516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22.36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1.4</v>
      </c>
      <c r="BK1833">
        <v>2</v>
      </c>
      <c r="BL1833">
        <v>70.959999999999994</v>
      </c>
      <c r="BM1833">
        <v>10.64</v>
      </c>
      <c r="BN1833">
        <v>81.599999999999994</v>
      </c>
      <c r="BO1833">
        <v>81.599999999999994</v>
      </c>
      <c r="BQ1833" t="s">
        <v>837</v>
      </c>
      <c r="BR1833" t="s">
        <v>97</v>
      </c>
      <c r="BS1833" s="3">
        <v>45947</v>
      </c>
      <c r="BT1833" s="4">
        <v>0.4375</v>
      </c>
      <c r="BU1833" t="s">
        <v>2579</v>
      </c>
      <c r="BV1833" t="s">
        <v>86</v>
      </c>
      <c r="BY1833">
        <v>7000</v>
      </c>
      <c r="CA1833">
        <v>8110305701087</v>
      </c>
      <c r="CC1833" t="s">
        <v>169</v>
      </c>
      <c r="CD1833" s="5" t="s">
        <v>839</v>
      </c>
      <c r="CE1833" t="s">
        <v>191</v>
      </c>
      <c r="CF1833" s="3">
        <v>45947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"080068564833"</f>
        <v>080068564833</v>
      </c>
      <c r="F1834" s="3">
        <v>45946</v>
      </c>
      <c r="G1834">
        <v>202607</v>
      </c>
      <c r="H1834" t="s">
        <v>79</v>
      </c>
      <c r="I1834" t="s">
        <v>80</v>
      </c>
      <c r="J1834" t="s">
        <v>91</v>
      </c>
      <c r="K1834" t="s">
        <v>78</v>
      </c>
      <c r="L1834" t="s">
        <v>446</v>
      </c>
      <c r="M1834" t="s">
        <v>447</v>
      </c>
      <c r="N1834" t="s">
        <v>448</v>
      </c>
      <c r="O1834" t="s">
        <v>82</v>
      </c>
      <c r="P1834" t="str">
        <f>"4170064596                    "</f>
        <v xml:space="preserve">4170064596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43.31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1.1000000000000001</v>
      </c>
      <c r="BK1834">
        <v>2</v>
      </c>
      <c r="BL1834">
        <v>137.47</v>
      </c>
      <c r="BM1834">
        <v>20.62</v>
      </c>
      <c r="BN1834">
        <v>158.09</v>
      </c>
      <c r="BO1834">
        <v>158.09</v>
      </c>
      <c r="BQ1834" t="s">
        <v>449</v>
      </c>
      <c r="BR1834" t="s">
        <v>97</v>
      </c>
      <c r="BS1834" s="3">
        <v>45947</v>
      </c>
      <c r="BT1834" s="4">
        <v>0.53263888888888888</v>
      </c>
      <c r="BU1834" t="s">
        <v>450</v>
      </c>
      <c r="BV1834" t="s">
        <v>86</v>
      </c>
      <c r="BY1834">
        <v>5320</v>
      </c>
      <c r="CA1834" t="s">
        <v>1124</v>
      </c>
      <c r="CC1834" t="s">
        <v>447</v>
      </c>
      <c r="CD1834">
        <v>7130</v>
      </c>
      <c r="CE1834" t="s">
        <v>191</v>
      </c>
      <c r="CF1834" s="3">
        <v>45950</v>
      </c>
      <c r="CI1834">
        <v>1</v>
      </c>
      <c r="CJ1834">
        <v>1</v>
      </c>
      <c r="CK1834">
        <v>23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"080068564886"</f>
        <v>080068564886</v>
      </c>
      <c r="F1835" s="3">
        <v>45946</v>
      </c>
      <c r="G1835">
        <v>202607</v>
      </c>
      <c r="H1835" t="s">
        <v>79</v>
      </c>
      <c r="I1835" t="s">
        <v>80</v>
      </c>
      <c r="J1835" t="s">
        <v>91</v>
      </c>
      <c r="K1835" t="s">
        <v>78</v>
      </c>
      <c r="L1835" t="s">
        <v>148</v>
      </c>
      <c r="M1835" t="s">
        <v>149</v>
      </c>
      <c r="N1835" t="s">
        <v>952</v>
      </c>
      <c r="O1835" t="s">
        <v>82</v>
      </c>
      <c r="P1835" t="str">
        <f>"4170064605                    "</f>
        <v xml:space="preserve">4170064605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17.46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3.7</v>
      </c>
      <c r="BK1835">
        <v>4</v>
      </c>
      <c r="BL1835">
        <v>55.42</v>
      </c>
      <c r="BM1835">
        <v>8.31</v>
      </c>
      <c r="BN1835">
        <v>63.73</v>
      </c>
      <c r="BO1835">
        <v>63.73</v>
      </c>
      <c r="BQ1835" t="s">
        <v>953</v>
      </c>
      <c r="BR1835" t="s">
        <v>97</v>
      </c>
      <c r="BS1835" s="3">
        <v>45947</v>
      </c>
      <c r="BT1835" s="4">
        <v>0.375</v>
      </c>
      <c r="BU1835" t="s">
        <v>1645</v>
      </c>
      <c r="BV1835" t="s">
        <v>86</v>
      </c>
      <c r="BY1835">
        <v>18304</v>
      </c>
      <c r="CA1835" t="s">
        <v>1217</v>
      </c>
      <c r="CC1835" t="s">
        <v>149</v>
      </c>
      <c r="CD1835">
        <v>2091</v>
      </c>
      <c r="CE1835" t="s">
        <v>191</v>
      </c>
      <c r="CF1835" s="3">
        <v>45947</v>
      </c>
      <c r="CI1835">
        <v>1</v>
      </c>
      <c r="CJ1835">
        <v>1</v>
      </c>
      <c r="CK1835">
        <v>22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"080068564917"</f>
        <v>080068564917</v>
      </c>
      <c r="F1836" s="3">
        <v>45946</v>
      </c>
      <c r="G1836">
        <v>202607</v>
      </c>
      <c r="H1836" t="s">
        <v>79</v>
      </c>
      <c r="I1836" t="s">
        <v>80</v>
      </c>
      <c r="J1836" t="s">
        <v>91</v>
      </c>
      <c r="K1836" t="s">
        <v>78</v>
      </c>
      <c r="L1836" t="s">
        <v>322</v>
      </c>
      <c r="M1836" t="s">
        <v>322</v>
      </c>
      <c r="N1836" t="s">
        <v>483</v>
      </c>
      <c r="O1836" t="s">
        <v>82</v>
      </c>
      <c r="P1836" t="str">
        <f>"4170064509                    "</f>
        <v xml:space="preserve">4170064509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82.43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3.7</v>
      </c>
      <c r="BK1836">
        <v>4</v>
      </c>
      <c r="BL1836">
        <v>261.63</v>
      </c>
      <c r="BM1836">
        <v>39.24</v>
      </c>
      <c r="BN1836">
        <v>300.87</v>
      </c>
      <c r="BO1836">
        <v>300.87</v>
      </c>
      <c r="BQ1836" t="s">
        <v>486</v>
      </c>
      <c r="BR1836" t="s">
        <v>97</v>
      </c>
      <c r="BS1836" s="3">
        <v>45947</v>
      </c>
      <c r="BT1836" s="4">
        <v>0.5395833333333333</v>
      </c>
      <c r="BU1836" t="s">
        <v>485</v>
      </c>
      <c r="BV1836" t="s">
        <v>86</v>
      </c>
      <c r="BY1836">
        <v>18304</v>
      </c>
      <c r="CA1836" t="s">
        <v>326</v>
      </c>
      <c r="CC1836" t="s">
        <v>322</v>
      </c>
      <c r="CD1836">
        <v>7646</v>
      </c>
      <c r="CE1836" t="s">
        <v>191</v>
      </c>
      <c r="CF1836" s="3">
        <v>45950</v>
      </c>
      <c r="CI1836">
        <v>1</v>
      </c>
      <c r="CJ1836">
        <v>1</v>
      </c>
      <c r="CK1836">
        <v>23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"080068565130"</f>
        <v>080068565130</v>
      </c>
      <c r="F1837" s="3">
        <v>45946</v>
      </c>
      <c r="G1837">
        <v>202607</v>
      </c>
      <c r="H1837" t="s">
        <v>79</v>
      </c>
      <c r="I1837" t="s">
        <v>80</v>
      </c>
      <c r="J1837" t="s">
        <v>91</v>
      </c>
      <c r="K1837" t="s">
        <v>78</v>
      </c>
      <c r="L1837" t="s">
        <v>206</v>
      </c>
      <c r="M1837" t="s">
        <v>207</v>
      </c>
      <c r="N1837" t="s">
        <v>656</v>
      </c>
      <c r="O1837" t="s">
        <v>82</v>
      </c>
      <c r="P1837" t="str">
        <f>"4170064674                    "</f>
        <v xml:space="preserve">4170064674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83.78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2</v>
      </c>
      <c r="BI1837">
        <v>6</v>
      </c>
      <c r="BJ1837">
        <v>7.2</v>
      </c>
      <c r="BK1837">
        <v>7.5</v>
      </c>
      <c r="BL1837">
        <v>265.92</v>
      </c>
      <c r="BM1837">
        <v>39.89</v>
      </c>
      <c r="BN1837">
        <v>305.81</v>
      </c>
      <c r="BO1837">
        <v>305.81</v>
      </c>
      <c r="BQ1837" t="s">
        <v>657</v>
      </c>
      <c r="BR1837" t="s">
        <v>97</v>
      </c>
      <c r="BS1837" s="3">
        <v>45947</v>
      </c>
      <c r="BT1837" s="4">
        <v>0.40625</v>
      </c>
      <c r="BU1837" t="s">
        <v>658</v>
      </c>
      <c r="BV1837" t="s">
        <v>86</v>
      </c>
      <c r="BY1837">
        <v>18032</v>
      </c>
      <c r="CA1837" t="s">
        <v>211</v>
      </c>
      <c r="CC1837" t="s">
        <v>207</v>
      </c>
      <c r="CD1837">
        <v>7441</v>
      </c>
      <c r="CE1837" t="s">
        <v>1088</v>
      </c>
      <c r="CF1837" s="3">
        <v>45950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"080068565631"</f>
        <v>080068565631</v>
      </c>
      <c r="F1838" s="3">
        <v>45946</v>
      </c>
      <c r="G1838">
        <v>202607</v>
      </c>
      <c r="H1838" t="s">
        <v>79</v>
      </c>
      <c r="I1838" t="s">
        <v>80</v>
      </c>
      <c r="J1838" t="s">
        <v>91</v>
      </c>
      <c r="K1838" t="s">
        <v>78</v>
      </c>
      <c r="L1838" t="s">
        <v>218</v>
      </c>
      <c r="M1838" t="s">
        <v>219</v>
      </c>
      <c r="N1838" t="s">
        <v>1431</v>
      </c>
      <c r="O1838" t="s">
        <v>226</v>
      </c>
      <c r="P1838" t="str">
        <f>"4170064559                    "</f>
        <v xml:space="preserve">4170064559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17.47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</v>
      </c>
      <c r="BJ1838">
        <v>6.5</v>
      </c>
      <c r="BK1838">
        <v>7</v>
      </c>
      <c r="BL1838">
        <v>55.44</v>
      </c>
      <c r="BM1838">
        <v>8.32</v>
      </c>
      <c r="BN1838">
        <v>63.76</v>
      </c>
      <c r="BO1838">
        <v>63.76</v>
      </c>
      <c r="BQ1838" t="s">
        <v>1432</v>
      </c>
      <c r="BR1838" t="s">
        <v>97</v>
      </c>
      <c r="BS1838" s="3">
        <v>45947</v>
      </c>
      <c r="BT1838" s="4">
        <v>0.30555555555555558</v>
      </c>
      <c r="BU1838" t="s">
        <v>2578</v>
      </c>
      <c r="BV1838" t="s">
        <v>86</v>
      </c>
      <c r="BY1838">
        <v>32500</v>
      </c>
      <c r="CA1838" t="s">
        <v>1434</v>
      </c>
      <c r="CC1838" t="s">
        <v>219</v>
      </c>
      <c r="CD1838">
        <v>1559</v>
      </c>
      <c r="CE1838" t="s">
        <v>107</v>
      </c>
      <c r="CF1838" s="3">
        <v>45947</v>
      </c>
      <c r="CI1838">
        <v>1</v>
      </c>
      <c r="CJ1838">
        <v>1</v>
      </c>
      <c r="CK1838">
        <v>32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"080068565754"</f>
        <v>080068565754</v>
      </c>
      <c r="F1839" s="3">
        <v>45946</v>
      </c>
      <c r="G1839">
        <v>202607</v>
      </c>
      <c r="H1839" t="s">
        <v>79</v>
      </c>
      <c r="I1839" t="s">
        <v>80</v>
      </c>
      <c r="J1839" t="s">
        <v>91</v>
      </c>
      <c r="K1839" t="s">
        <v>78</v>
      </c>
      <c r="L1839" t="s">
        <v>114</v>
      </c>
      <c r="M1839" t="s">
        <v>115</v>
      </c>
      <c r="N1839" t="s">
        <v>1235</v>
      </c>
      <c r="O1839" t="s">
        <v>82</v>
      </c>
      <c r="P1839" t="str">
        <f>"4170064520                    "</f>
        <v xml:space="preserve">4170064520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27.94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2.5</v>
      </c>
      <c r="BK1839">
        <v>2.5</v>
      </c>
      <c r="BL1839">
        <v>88.68</v>
      </c>
      <c r="BM1839">
        <v>13.3</v>
      </c>
      <c r="BN1839">
        <v>101.98</v>
      </c>
      <c r="BO1839">
        <v>101.98</v>
      </c>
      <c r="BQ1839" t="s">
        <v>1236</v>
      </c>
      <c r="BR1839" t="s">
        <v>97</v>
      </c>
      <c r="BS1839" s="3">
        <v>45947</v>
      </c>
      <c r="BT1839" s="4">
        <v>0.62083333333333335</v>
      </c>
      <c r="BU1839" t="s">
        <v>2580</v>
      </c>
      <c r="BV1839" t="s">
        <v>90</v>
      </c>
      <c r="BY1839">
        <v>12544</v>
      </c>
      <c r="CA1839" t="s">
        <v>2581</v>
      </c>
      <c r="CC1839" t="s">
        <v>115</v>
      </c>
      <c r="CD1839">
        <v>5201</v>
      </c>
      <c r="CE1839" t="s">
        <v>107</v>
      </c>
      <c r="CF1839" s="3">
        <v>45947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"080068566333"</f>
        <v>080068566333</v>
      </c>
      <c r="F1840" s="3">
        <v>45946</v>
      </c>
      <c r="G1840">
        <v>202607</v>
      </c>
      <c r="H1840" t="s">
        <v>79</v>
      </c>
      <c r="I1840" t="s">
        <v>80</v>
      </c>
      <c r="J1840" t="s">
        <v>91</v>
      </c>
      <c r="K1840" t="s">
        <v>78</v>
      </c>
      <c r="L1840" t="s">
        <v>668</v>
      </c>
      <c r="M1840" t="s">
        <v>669</v>
      </c>
      <c r="N1840" t="s">
        <v>2305</v>
      </c>
      <c r="O1840" t="s">
        <v>226</v>
      </c>
      <c r="P1840" t="str">
        <f>"4170064632                    "</f>
        <v xml:space="preserve">4170064632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17.47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8</v>
      </c>
      <c r="BJ1840">
        <v>4</v>
      </c>
      <c r="BK1840">
        <v>8</v>
      </c>
      <c r="BL1840">
        <v>55.44</v>
      </c>
      <c r="BM1840">
        <v>8.32</v>
      </c>
      <c r="BN1840">
        <v>63.76</v>
      </c>
      <c r="BO1840">
        <v>63.76</v>
      </c>
      <c r="BQ1840" t="s">
        <v>2306</v>
      </c>
      <c r="BR1840" t="s">
        <v>97</v>
      </c>
      <c r="BS1840" s="3">
        <v>45947</v>
      </c>
      <c r="BT1840" s="4">
        <v>0.41736111111111113</v>
      </c>
      <c r="BU1840" t="s">
        <v>2582</v>
      </c>
      <c r="BV1840" t="s">
        <v>86</v>
      </c>
      <c r="BY1840">
        <v>19872</v>
      </c>
      <c r="CA1840" t="s">
        <v>1595</v>
      </c>
      <c r="CC1840" t="s">
        <v>669</v>
      </c>
      <c r="CD1840">
        <v>1500</v>
      </c>
      <c r="CE1840" t="s">
        <v>107</v>
      </c>
      <c r="CF1840" s="3">
        <v>45948</v>
      </c>
      <c r="CI1840">
        <v>1</v>
      </c>
      <c r="CJ1840">
        <v>1</v>
      </c>
      <c r="CK1840">
        <v>32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"080068566384"</f>
        <v>080068566384</v>
      </c>
      <c r="F1841" s="3">
        <v>45946</v>
      </c>
      <c r="G1841">
        <v>202607</v>
      </c>
      <c r="H1841" t="s">
        <v>79</v>
      </c>
      <c r="I1841" t="s">
        <v>80</v>
      </c>
      <c r="J1841" t="s">
        <v>91</v>
      </c>
      <c r="K1841" t="s">
        <v>78</v>
      </c>
      <c r="L1841" t="s">
        <v>168</v>
      </c>
      <c r="M1841" t="s">
        <v>169</v>
      </c>
      <c r="N1841" t="s">
        <v>836</v>
      </c>
      <c r="O1841" t="s">
        <v>95</v>
      </c>
      <c r="P1841" t="str">
        <f>"4170064578                    "</f>
        <v xml:space="preserve">4170064578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43.23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2.4</v>
      </c>
      <c r="BK1841">
        <v>3</v>
      </c>
      <c r="BL1841">
        <v>143.08000000000001</v>
      </c>
      <c r="BM1841">
        <v>21.46</v>
      </c>
      <c r="BN1841">
        <v>164.54</v>
      </c>
      <c r="BO1841">
        <v>164.54</v>
      </c>
      <c r="BQ1841" t="s">
        <v>837</v>
      </c>
      <c r="BR1841" t="s">
        <v>97</v>
      </c>
      <c r="BS1841" s="3">
        <v>45947</v>
      </c>
      <c r="BT1841" s="4">
        <v>0.44027777777777777</v>
      </c>
      <c r="BU1841" t="s">
        <v>2579</v>
      </c>
      <c r="BV1841" t="s">
        <v>86</v>
      </c>
      <c r="BY1841">
        <v>11760</v>
      </c>
      <c r="CA1841">
        <v>8110305701087</v>
      </c>
      <c r="CC1841" t="s">
        <v>169</v>
      </c>
      <c r="CD1841" s="5" t="s">
        <v>839</v>
      </c>
      <c r="CE1841" t="s">
        <v>107</v>
      </c>
      <c r="CF1841" s="3">
        <v>45947</v>
      </c>
      <c r="CI1841">
        <v>1</v>
      </c>
      <c r="CJ1841">
        <v>1</v>
      </c>
      <c r="CK1841">
        <v>41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"080068566486"</f>
        <v>080068566486</v>
      </c>
      <c r="F1842" s="3">
        <v>45946</v>
      </c>
      <c r="G1842">
        <v>202607</v>
      </c>
      <c r="H1842" t="s">
        <v>79</v>
      </c>
      <c r="I1842" t="s">
        <v>80</v>
      </c>
      <c r="J1842" t="s">
        <v>91</v>
      </c>
      <c r="K1842" t="s">
        <v>78</v>
      </c>
      <c r="L1842" t="s">
        <v>79</v>
      </c>
      <c r="M1842" t="s">
        <v>80</v>
      </c>
      <c r="N1842" t="s">
        <v>694</v>
      </c>
      <c r="O1842" t="s">
        <v>95</v>
      </c>
      <c r="P1842" t="str">
        <f>"4170064594                    "</f>
        <v xml:space="preserve">4170064594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82.12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2</v>
      </c>
      <c r="BI1842">
        <v>65</v>
      </c>
      <c r="BJ1842">
        <v>59.3</v>
      </c>
      <c r="BK1842">
        <v>65</v>
      </c>
      <c r="BL1842">
        <v>266.51</v>
      </c>
      <c r="BM1842">
        <v>39.979999999999997</v>
      </c>
      <c r="BN1842">
        <v>306.49</v>
      </c>
      <c r="BO1842">
        <v>306.49</v>
      </c>
      <c r="BQ1842" t="s">
        <v>695</v>
      </c>
      <c r="BR1842" t="s">
        <v>97</v>
      </c>
      <c r="BS1842" s="3">
        <v>45947</v>
      </c>
      <c r="BT1842" s="4">
        <v>0.37430555555555556</v>
      </c>
      <c r="BU1842" t="s">
        <v>2583</v>
      </c>
      <c r="BV1842" t="s">
        <v>86</v>
      </c>
      <c r="BY1842">
        <v>296264</v>
      </c>
      <c r="CA1842" t="s">
        <v>896</v>
      </c>
      <c r="CC1842" t="s">
        <v>80</v>
      </c>
      <c r="CD1842">
        <v>1601</v>
      </c>
      <c r="CE1842" t="s">
        <v>191</v>
      </c>
      <c r="CF1842" s="3">
        <v>45948</v>
      </c>
      <c r="CI1842">
        <v>1</v>
      </c>
      <c r="CJ1842">
        <v>1</v>
      </c>
      <c r="CK1842">
        <v>42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"080068566516"</f>
        <v>080068566516</v>
      </c>
      <c r="F1843" s="3">
        <v>45946</v>
      </c>
      <c r="G1843">
        <v>202607</v>
      </c>
      <c r="H1843" t="s">
        <v>79</v>
      </c>
      <c r="I1843" t="s">
        <v>80</v>
      </c>
      <c r="J1843" t="s">
        <v>91</v>
      </c>
      <c r="K1843" t="s">
        <v>78</v>
      </c>
      <c r="L1843" t="s">
        <v>180</v>
      </c>
      <c r="M1843" t="s">
        <v>181</v>
      </c>
      <c r="N1843" t="s">
        <v>182</v>
      </c>
      <c r="O1843" t="s">
        <v>82</v>
      </c>
      <c r="P1843" t="str">
        <f>"4170064575                    "</f>
        <v xml:space="preserve">4170064575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53.09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2</v>
      </c>
      <c r="BJ1843">
        <v>2.4</v>
      </c>
      <c r="BK1843">
        <v>2.5</v>
      </c>
      <c r="BL1843">
        <v>168.51</v>
      </c>
      <c r="BM1843">
        <v>25.28</v>
      </c>
      <c r="BN1843">
        <v>193.79</v>
      </c>
      <c r="BO1843">
        <v>193.79</v>
      </c>
      <c r="BQ1843" t="s">
        <v>183</v>
      </c>
      <c r="BR1843" t="s">
        <v>97</v>
      </c>
      <c r="BS1843" s="3">
        <v>45950</v>
      </c>
      <c r="BT1843" s="4">
        <v>0.56944444444444442</v>
      </c>
      <c r="BU1843" t="s">
        <v>2584</v>
      </c>
      <c r="BV1843" t="s">
        <v>90</v>
      </c>
      <c r="BW1843" t="s">
        <v>188</v>
      </c>
      <c r="BX1843" t="s">
        <v>1087</v>
      </c>
      <c r="BY1843">
        <v>11760</v>
      </c>
      <c r="CA1843" t="s">
        <v>146</v>
      </c>
      <c r="CC1843" t="s">
        <v>181</v>
      </c>
      <c r="CD1843">
        <v>1028</v>
      </c>
      <c r="CE1843" t="s">
        <v>107</v>
      </c>
      <c r="CF1843" s="3">
        <v>45950</v>
      </c>
      <c r="CI1843">
        <v>1</v>
      </c>
      <c r="CJ1843">
        <v>2</v>
      </c>
      <c r="CK1843">
        <v>23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"080068566570"</f>
        <v>080068566570</v>
      </c>
      <c r="F1844" s="3">
        <v>45946</v>
      </c>
      <c r="G1844">
        <v>202607</v>
      </c>
      <c r="H1844" t="s">
        <v>79</v>
      </c>
      <c r="I1844" t="s">
        <v>80</v>
      </c>
      <c r="J1844" t="s">
        <v>91</v>
      </c>
      <c r="K1844" t="s">
        <v>78</v>
      </c>
      <c r="L1844" t="s">
        <v>108</v>
      </c>
      <c r="M1844" t="s">
        <v>109</v>
      </c>
      <c r="N1844" t="s">
        <v>256</v>
      </c>
      <c r="O1844" t="s">
        <v>82</v>
      </c>
      <c r="P1844" t="str">
        <f>"4170064649                    "</f>
        <v xml:space="preserve">4170064649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22.36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70.959999999999994</v>
      </c>
      <c r="BM1844">
        <v>10.64</v>
      </c>
      <c r="BN1844">
        <v>81.599999999999994</v>
      </c>
      <c r="BO1844">
        <v>81.599999999999994</v>
      </c>
      <c r="BQ1844" t="s">
        <v>257</v>
      </c>
      <c r="BR1844" t="s">
        <v>97</v>
      </c>
      <c r="BS1844" s="3">
        <v>45947</v>
      </c>
      <c r="BT1844" s="4">
        <v>0.38263888888888886</v>
      </c>
      <c r="BU1844" t="s">
        <v>1880</v>
      </c>
      <c r="BV1844" t="s">
        <v>86</v>
      </c>
      <c r="BY1844">
        <v>1200</v>
      </c>
      <c r="CA1844" t="s">
        <v>142</v>
      </c>
      <c r="CC1844" t="s">
        <v>109</v>
      </c>
      <c r="CD1844">
        <v>6001</v>
      </c>
      <c r="CE1844" t="s">
        <v>147</v>
      </c>
      <c r="CF1844" s="3">
        <v>45947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"080068566617"</f>
        <v>080068566617</v>
      </c>
      <c r="F1845" s="3">
        <v>45946</v>
      </c>
      <c r="G1845">
        <v>202607</v>
      </c>
      <c r="H1845" t="s">
        <v>79</v>
      </c>
      <c r="I1845" t="s">
        <v>80</v>
      </c>
      <c r="J1845" t="s">
        <v>91</v>
      </c>
      <c r="K1845" t="s">
        <v>78</v>
      </c>
      <c r="L1845" t="s">
        <v>148</v>
      </c>
      <c r="M1845" t="s">
        <v>149</v>
      </c>
      <c r="N1845" t="s">
        <v>2585</v>
      </c>
      <c r="O1845" t="s">
        <v>82</v>
      </c>
      <c r="P1845" t="str">
        <f>"4170064665                    "</f>
        <v xml:space="preserve">4170064665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17.46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55.42</v>
      </c>
      <c r="BM1845">
        <v>8.31</v>
      </c>
      <c r="BN1845">
        <v>63.73</v>
      </c>
      <c r="BO1845">
        <v>63.73</v>
      </c>
      <c r="BQ1845" t="s">
        <v>2586</v>
      </c>
      <c r="BR1845" t="s">
        <v>97</v>
      </c>
      <c r="BS1845" s="3">
        <v>45947</v>
      </c>
      <c r="BT1845" s="4">
        <v>0.33333333333333331</v>
      </c>
      <c r="BU1845" t="s">
        <v>2587</v>
      </c>
      <c r="BV1845" t="s">
        <v>86</v>
      </c>
      <c r="BY1845">
        <v>1200</v>
      </c>
      <c r="CA1845" t="s">
        <v>1463</v>
      </c>
      <c r="CC1845" t="s">
        <v>149</v>
      </c>
      <c r="CD1845">
        <v>2013</v>
      </c>
      <c r="CE1845" t="s">
        <v>147</v>
      </c>
      <c r="CF1845" s="3">
        <v>45948</v>
      </c>
      <c r="CI1845">
        <v>1</v>
      </c>
      <c r="CJ1845">
        <v>1</v>
      </c>
      <c r="CK1845">
        <v>22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"080068566638"</f>
        <v>080068566638</v>
      </c>
      <c r="F1846" s="3">
        <v>45946</v>
      </c>
      <c r="G1846">
        <v>202607</v>
      </c>
      <c r="H1846" t="s">
        <v>79</v>
      </c>
      <c r="I1846" t="s">
        <v>80</v>
      </c>
      <c r="J1846" t="s">
        <v>91</v>
      </c>
      <c r="K1846" t="s">
        <v>78</v>
      </c>
      <c r="L1846" t="s">
        <v>108</v>
      </c>
      <c r="M1846" t="s">
        <v>109</v>
      </c>
      <c r="N1846" t="s">
        <v>515</v>
      </c>
      <c r="O1846" t="s">
        <v>82</v>
      </c>
      <c r="P1846" t="str">
        <f>"4170064567                    "</f>
        <v xml:space="preserve">4170064567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22.36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70.959999999999994</v>
      </c>
      <c r="BM1846">
        <v>10.64</v>
      </c>
      <c r="BN1846">
        <v>81.599999999999994</v>
      </c>
      <c r="BO1846">
        <v>81.599999999999994</v>
      </c>
      <c r="BQ1846" t="s">
        <v>516</v>
      </c>
      <c r="BR1846" t="s">
        <v>97</v>
      </c>
      <c r="BS1846" s="3">
        <v>45947</v>
      </c>
      <c r="BT1846" s="4">
        <v>0.42916666666666664</v>
      </c>
      <c r="BU1846" t="s">
        <v>517</v>
      </c>
      <c r="BV1846" t="s">
        <v>86</v>
      </c>
      <c r="BY1846">
        <v>1200</v>
      </c>
      <c r="CA1846" t="s">
        <v>113</v>
      </c>
      <c r="CC1846" t="s">
        <v>109</v>
      </c>
      <c r="CD1846">
        <v>6001</v>
      </c>
      <c r="CE1846" t="s">
        <v>147</v>
      </c>
      <c r="CF1846" s="3">
        <v>45947</v>
      </c>
      <c r="CI1846">
        <v>1</v>
      </c>
      <c r="CJ1846">
        <v>1</v>
      </c>
      <c r="CK1846">
        <v>21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"080068566651"</f>
        <v>080068566651</v>
      </c>
      <c r="F1847" s="3">
        <v>45946</v>
      </c>
      <c r="G1847">
        <v>202607</v>
      </c>
      <c r="H1847" t="s">
        <v>79</v>
      </c>
      <c r="I1847" t="s">
        <v>80</v>
      </c>
      <c r="J1847" t="s">
        <v>91</v>
      </c>
      <c r="K1847" t="s">
        <v>78</v>
      </c>
      <c r="L1847" t="s">
        <v>206</v>
      </c>
      <c r="M1847" t="s">
        <v>207</v>
      </c>
      <c r="N1847" t="s">
        <v>1062</v>
      </c>
      <c r="O1847" t="s">
        <v>82</v>
      </c>
      <c r="P1847" t="str">
        <f>"4170064669                    "</f>
        <v xml:space="preserve">4170064669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22.36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70.959999999999994</v>
      </c>
      <c r="BM1847">
        <v>10.64</v>
      </c>
      <c r="BN1847">
        <v>81.599999999999994</v>
      </c>
      <c r="BO1847">
        <v>81.599999999999994</v>
      </c>
      <c r="BQ1847" t="s">
        <v>1063</v>
      </c>
      <c r="BR1847" t="s">
        <v>97</v>
      </c>
      <c r="BS1847" s="3">
        <v>45947</v>
      </c>
      <c r="BT1847" s="4">
        <v>0.38055555555555554</v>
      </c>
      <c r="BU1847" t="s">
        <v>2546</v>
      </c>
      <c r="BV1847" t="s">
        <v>86</v>
      </c>
      <c r="BY1847">
        <v>1200</v>
      </c>
      <c r="CA1847" t="s">
        <v>211</v>
      </c>
      <c r="CC1847" t="s">
        <v>207</v>
      </c>
      <c r="CD1847">
        <v>8001</v>
      </c>
      <c r="CE1847" t="s">
        <v>147</v>
      </c>
      <c r="CF1847" s="3">
        <v>45950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"080068566740"</f>
        <v>080068566740</v>
      </c>
      <c r="F1848" s="3">
        <v>45946</v>
      </c>
      <c r="G1848">
        <v>202607</v>
      </c>
      <c r="H1848" t="s">
        <v>79</v>
      </c>
      <c r="I1848" t="s">
        <v>80</v>
      </c>
      <c r="J1848" t="s">
        <v>91</v>
      </c>
      <c r="K1848" t="s">
        <v>78</v>
      </c>
      <c r="L1848" t="s">
        <v>763</v>
      </c>
      <c r="M1848" t="s">
        <v>764</v>
      </c>
      <c r="N1848" t="s">
        <v>765</v>
      </c>
      <c r="O1848" t="s">
        <v>95</v>
      </c>
      <c r="P1848" t="str">
        <f>"4170064591                    "</f>
        <v xml:space="preserve">4170064591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154.4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2</v>
      </c>
      <c r="BI1848">
        <v>30</v>
      </c>
      <c r="BJ1848">
        <v>44.1</v>
      </c>
      <c r="BK1848">
        <v>45</v>
      </c>
      <c r="BL1848">
        <v>495.92</v>
      </c>
      <c r="BM1848">
        <v>74.39</v>
      </c>
      <c r="BN1848">
        <v>570.30999999999995</v>
      </c>
      <c r="BO1848">
        <v>570.30999999999995</v>
      </c>
      <c r="BQ1848" t="s">
        <v>766</v>
      </c>
      <c r="BR1848" t="s">
        <v>97</v>
      </c>
      <c r="BS1848" s="3">
        <v>45947</v>
      </c>
      <c r="BT1848" s="4">
        <v>0.42152777777777778</v>
      </c>
      <c r="BU1848" t="s">
        <v>767</v>
      </c>
      <c r="BV1848" t="s">
        <v>86</v>
      </c>
      <c r="BY1848">
        <v>220528</v>
      </c>
      <c r="CA1848" t="s">
        <v>768</v>
      </c>
      <c r="CC1848" t="s">
        <v>764</v>
      </c>
      <c r="CD1848">
        <v>2531</v>
      </c>
      <c r="CE1848" t="s">
        <v>191</v>
      </c>
      <c r="CF1848" s="3">
        <v>45950</v>
      </c>
      <c r="CI1848">
        <v>1</v>
      </c>
      <c r="CJ1848">
        <v>1</v>
      </c>
      <c r="CK1848">
        <v>43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"080068566769"</f>
        <v>080068566769</v>
      </c>
      <c r="F1849" s="3">
        <v>45946</v>
      </c>
      <c r="G1849">
        <v>202607</v>
      </c>
      <c r="H1849" t="s">
        <v>79</v>
      </c>
      <c r="I1849" t="s">
        <v>80</v>
      </c>
      <c r="J1849" t="s">
        <v>91</v>
      </c>
      <c r="K1849" t="s">
        <v>78</v>
      </c>
      <c r="L1849" t="s">
        <v>121</v>
      </c>
      <c r="M1849" t="s">
        <v>122</v>
      </c>
      <c r="N1849" t="s">
        <v>159</v>
      </c>
      <c r="O1849" t="s">
        <v>82</v>
      </c>
      <c r="P1849" t="str">
        <f>"4170064541                    "</f>
        <v xml:space="preserve">4170064541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22.36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1.4</v>
      </c>
      <c r="BK1849">
        <v>2</v>
      </c>
      <c r="BL1849">
        <v>70.959999999999994</v>
      </c>
      <c r="BM1849">
        <v>10.64</v>
      </c>
      <c r="BN1849">
        <v>81.599999999999994</v>
      </c>
      <c r="BO1849">
        <v>81.599999999999994</v>
      </c>
      <c r="BQ1849" t="s">
        <v>160</v>
      </c>
      <c r="BR1849" t="s">
        <v>97</v>
      </c>
      <c r="BS1849" s="3">
        <v>45947</v>
      </c>
      <c r="BT1849" s="4">
        <v>0.42430555555555555</v>
      </c>
      <c r="BU1849" t="s">
        <v>2133</v>
      </c>
      <c r="BV1849" t="s">
        <v>86</v>
      </c>
      <c r="BY1849">
        <v>7000</v>
      </c>
      <c r="CA1849" t="s">
        <v>742</v>
      </c>
      <c r="CC1849" t="s">
        <v>122</v>
      </c>
      <c r="CD1849">
        <v>4000</v>
      </c>
      <c r="CE1849" t="s">
        <v>191</v>
      </c>
      <c r="CF1849" s="3">
        <v>45948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"080068566805"</f>
        <v>080068566805</v>
      </c>
      <c r="F1850" s="3">
        <v>45946</v>
      </c>
      <c r="G1850">
        <v>202607</v>
      </c>
      <c r="H1850" t="s">
        <v>79</v>
      </c>
      <c r="I1850" t="s">
        <v>80</v>
      </c>
      <c r="J1850" t="s">
        <v>91</v>
      </c>
      <c r="K1850" t="s">
        <v>78</v>
      </c>
      <c r="L1850" t="s">
        <v>453</v>
      </c>
      <c r="M1850" t="s">
        <v>454</v>
      </c>
      <c r="N1850" t="s">
        <v>2588</v>
      </c>
      <c r="O1850" t="s">
        <v>82</v>
      </c>
      <c r="P1850" t="str">
        <f>"4170064515                    "</f>
        <v xml:space="preserve">4170064515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22.36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70.959999999999994</v>
      </c>
      <c r="BM1850">
        <v>10.64</v>
      </c>
      <c r="BN1850">
        <v>81.599999999999994</v>
      </c>
      <c r="BO1850">
        <v>81.599999999999994</v>
      </c>
      <c r="BQ1850" t="s">
        <v>2589</v>
      </c>
      <c r="BR1850" t="s">
        <v>97</v>
      </c>
      <c r="BS1850" s="3">
        <v>45947</v>
      </c>
      <c r="BT1850" s="4">
        <v>0.42430555555555555</v>
      </c>
      <c r="BU1850" t="s">
        <v>2353</v>
      </c>
      <c r="BV1850" t="s">
        <v>86</v>
      </c>
      <c r="BY1850">
        <v>1200</v>
      </c>
      <c r="CA1850" t="s">
        <v>457</v>
      </c>
      <c r="CC1850" t="s">
        <v>454</v>
      </c>
      <c r="CD1850">
        <v>3600</v>
      </c>
      <c r="CE1850" t="s">
        <v>147</v>
      </c>
      <c r="CF1850" s="3">
        <v>45947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"080068566838"</f>
        <v>080068566838</v>
      </c>
      <c r="F1851" s="3">
        <v>45946</v>
      </c>
      <c r="G1851">
        <v>202607</v>
      </c>
      <c r="H1851" t="s">
        <v>79</v>
      </c>
      <c r="I1851" t="s">
        <v>80</v>
      </c>
      <c r="J1851" t="s">
        <v>91</v>
      </c>
      <c r="K1851" t="s">
        <v>78</v>
      </c>
      <c r="L1851" t="s">
        <v>265</v>
      </c>
      <c r="M1851" t="s">
        <v>266</v>
      </c>
      <c r="N1851" t="s">
        <v>536</v>
      </c>
      <c r="O1851" t="s">
        <v>82</v>
      </c>
      <c r="P1851" t="str">
        <f>"4170064568                    "</f>
        <v xml:space="preserve">4170064568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22.36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70.959999999999994</v>
      </c>
      <c r="BM1851">
        <v>10.64</v>
      </c>
      <c r="BN1851">
        <v>81.599999999999994</v>
      </c>
      <c r="BO1851">
        <v>81.599999999999994</v>
      </c>
      <c r="BQ1851" t="s">
        <v>537</v>
      </c>
      <c r="BR1851" t="s">
        <v>97</v>
      </c>
      <c r="BS1851" s="3">
        <v>45947</v>
      </c>
      <c r="BT1851" s="4">
        <v>0.38055555555555554</v>
      </c>
      <c r="BU1851" t="s">
        <v>2590</v>
      </c>
      <c r="BV1851" t="s">
        <v>86</v>
      </c>
      <c r="BY1851">
        <v>1200</v>
      </c>
      <c r="CA1851" t="s">
        <v>818</v>
      </c>
      <c r="CC1851" t="s">
        <v>266</v>
      </c>
      <c r="CD1851">
        <v>6230</v>
      </c>
      <c r="CE1851" t="s">
        <v>147</v>
      </c>
      <c r="CF1851" s="3">
        <v>45947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"080068566920"</f>
        <v>080068566920</v>
      </c>
      <c r="F1852" s="3">
        <v>45946</v>
      </c>
      <c r="G1852">
        <v>202607</v>
      </c>
      <c r="H1852" t="s">
        <v>79</v>
      </c>
      <c r="I1852" t="s">
        <v>80</v>
      </c>
      <c r="J1852" t="s">
        <v>91</v>
      </c>
      <c r="K1852" t="s">
        <v>78</v>
      </c>
      <c r="L1852" t="s">
        <v>333</v>
      </c>
      <c r="M1852" t="s">
        <v>334</v>
      </c>
      <c r="N1852" t="s">
        <v>1598</v>
      </c>
      <c r="O1852" t="s">
        <v>82</v>
      </c>
      <c r="P1852" t="str">
        <f>"4170064678                    "</f>
        <v xml:space="preserve">4170064678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22.36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70.959999999999994</v>
      </c>
      <c r="BM1852">
        <v>10.64</v>
      </c>
      <c r="BN1852">
        <v>81.599999999999994</v>
      </c>
      <c r="BO1852">
        <v>81.599999999999994</v>
      </c>
      <c r="BQ1852" t="s">
        <v>1599</v>
      </c>
      <c r="BR1852" t="s">
        <v>97</v>
      </c>
      <c r="BS1852" s="3">
        <v>45947</v>
      </c>
      <c r="BT1852" s="4">
        <v>0.43472222222222223</v>
      </c>
      <c r="BU1852" t="s">
        <v>1698</v>
      </c>
      <c r="BV1852" t="s">
        <v>86</v>
      </c>
      <c r="BY1852">
        <v>1200</v>
      </c>
      <c r="CA1852" t="s">
        <v>142</v>
      </c>
      <c r="CC1852" t="s">
        <v>334</v>
      </c>
      <c r="CD1852">
        <v>6220</v>
      </c>
      <c r="CE1852" t="s">
        <v>147</v>
      </c>
      <c r="CF1852" s="3">
        <v>45947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"080068567024"</f>
        <v>080068567024</v>
      </c>
      <c r="F1853" s="3">
        <v>45946</v>
      </c>
      <c r="G1853">
        <v>202607</v>
      </c>
      <c r="H1853" t="s">
        <v>79</v>
      </c>
      <c r="I1853" t="s">
        <v>80</v>
      </c>
      <c r="J1853" t="s">
        <v>91</v>
      </c>
      <c r="K1853" t="s">
        <v>78</v>
      </c>
      <c r="L1853" t="s">
        <v>102</v>
      </c>
      <c r="M1853" t="s">
        <v>103</v>
      </c>
      <c r="N1853" t="s">
        <v>1812</v>
      </c>
      <c r="O1853" t="s">
        <v>95</v>
      </c>
      <c r="P1853" t="str">
        <f>"4170064638                    "</f>
        <v xml:space="preserve">4170064638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49.94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2</v>
      </c>
      <c r="BI1853">
        <v>32</v>
      </c>
      <c r="BJ1853">
        <v>20.2</v>
      </c>
      <c r="BK1853">
        <v>32</v>
      </c>
      <c r="BL1853">
        <v>164.37</v>
      </c>
      <c r="BM1853">
        <v>24.66</v>
      </c>
      <c r="BN1853">
        <v>189.03</v>
      </c>
      <c r="BO1853">
        <v>189.03</v>
      </c>
      <c r="BQ1853" t="s">
        <v>1813</v>
      </c>
      <c r="BR1853" t="s">
        <v>97</v>
      </c>
      <c r="BS1853" s="3">
        <v>45947</v>
      </c>
      <c r="BT1853" s="4">
        <v>0.41666666666666669</v>
      </c>
      <c r="BU1853" t="s">
        <v>2591</v>
      </c>
      <c r="BV1853" t="s">
        <v>86</v>
      </c>
      <c r="BY1853">
        <v>50400</v>
      </c>
      <c r="CA1853" t="s">
        <v>2592</v>
      </c>
      <c r="CC1853" t="s">
        <v>103</v>
      </c>
      <c r="CD1853">
        <v>1451</v>
      </c>
      <c r="CE1853" t="s">
        <v>1088</v>
      </c>
      <c r="CF1853" s="3">
        <v>45947</v>
      </c>
      <c r="CI1853">
        <v>1</v>
      </c>
      <c r="CJ1853">
        <v>1</v>
      </c>
      <c r="CK1853">
        <v>42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"080068567108"</f>
        <v>080068567108</v>
      </c>
      <c r="F1854" s="3">
        <v>45946</v>
      </c>
      <c r="G1854">
        <v>202607</v>
      </c>
      <c r="H1854" t="s">
        <v>79</v>
      </c>
      <c r="I1854" t="s">
        <v>80</v>
      </c>
      <c r="J1854" t="s">
        <v>91</v>
      </c>
      <c r="K1854" t="s">
        <v>78</v>
      </c>
      <c r="L1854" t="s">
        <v>92</v>
      </c>
      <c r="M1854" t="s">
        <v>93</v>
      </c>
      <c r="N1854" t="s">
        <v>601</v>
      </c>
      <c r="O1854" t="s">
        <v>95</v>
      </c>
      <c r="P1854" t="str">
        <f>"4170064556                    "</f>
        <v xml:space="preserve">4170064556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50.37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18.100000000000001</v>
      </c>
      <c r="BJ1854">
        <v>18.100000000000001</v>
      </c>
      <c r="BK1854">
        <v>19</v>
      </c>
      <c r="BL1854">
        <v>165.74</v>
      </c>
      <c r="BM1854">
        <v>24.86</v>
      </c>
      <c r="BN1854">
        <v>190.6</v>
      </c>
      <c r="BO1854">
        <v>190.6</v>
      </c>
      <c r="BQ1854" t="s">
        <v>602</v>
      </c>
      <c r="BR1854" t="s">
        <v>97</v>
      </c>
      <c r="BS1854" s="3">
        <v>45947</v>
      </c>
      <c r="BT1854" s="4">
        <v>0.43055555555555558</v>
      </c>
      <c r="BU1854" t="s">
        <v>852</v>
      </c>
      <c r="BV1854" t="s">
        <v>86</v>
      </c>
      <c r="BY1854">
        <v>90528.75</v>
      </c>
      <c r="CC1854" t="s">
        <v>93</v>
      </c>
      <c r="CD1854">
        <v>3212</v>
      </c>
      <c r="CE1854" t="s">
        <v>191</v>
      </c>
      <c r="CF1854" s="3">
        <v>45947</v>
      </c>
      <c r="CI1854">
        <v>3</v>
      </c>
      <c r="CJ1854">
        <v>1</v>
      </c>
      <c r="CK1854">
        <v>41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"080068567169"</f>
        <v>080068567169</v>
      </c>
      <c r="F1855" s="3">
        <v>45946</v>
      </c>
      <c r="G1855">
        <v>202607</v>
      </c>
      <c r="H1855" t="s">
        <v>79</v>
      </c>
      <c r="I1855" t="s">
        <v>80</v>
      </c>
      <c r="J1855" t="s">
        <v>91</v>
      </c>
      <c r="K1855" t="s">
        <v>78</v>
      </c>
      <c r="L1855" t="s">
        <v>168</v>
      </c>
      <c r="M1855" t="s">
        <v>169</v>
      </c>
      <c r="N1855" t="s">
        <v>1218</v>
      </c>
      <c r="O1855" t="s">
        <v>95</v>
      </c>
      <c r="P1855" t="str">
        <f>"4170064593                    "</f>
        <v xml:space="preserve">4170064593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580.46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3</v>
      </c>
      <c r="BI1855">
        <v>106</v>
      </c>
      <c r="BJ1855">
        <v>315.7</v>
      </c>
      <c r="BK1855">
        <v>316</v>
      </c>
      <c r="BL1855">
        <v>1848.19</v>
      </c>
      <c r="BM1855">
        <v>277.23</v>
      </c>
      <c r="BN1855">
        <v>2125.42</v>
      </c>
      <c r="BO1855">
        <v>2125.42</v>
      </c>
      <c r="BQ1855" t="s">
        <v>1219</v>
      </c>
      <c r="BR1855" t="s">
        <v>97</v>
      </c>
      <c r="BS1855" s="3">
        <v>45947</v>
      </c>
      <c r="BT1855" s="4">
        <v>0.4152777777777778</v>
      </c>
      <c r="BU1855" t="s">
        <v>2593</v>
      </c>
      <c r="BV1855" t="s">
        <v>86</v>
      </c>
      <c r="BY1855">
        <v>791637</v>
      </c>
      <c r="CC1855" t="s">
        <v>169</v>
      </c>
      <c r="CD1855" s="5" t="s">
        <v>1061</v>
      </c>
      <c r="CE1855" t="s">
        <v>191</v>
      </c>
      <c r="CF1855" s="3">
        <v>45947</v>
      </c>
      <c r="CI1855">
        <v>1</v>
      </c>
      <c r="CJ1855">
        <v>1</v>
      </c>
      <c r="CK1855">
        <v>41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"080068567244"</f>
        <v>080068567244</v>
      </c>
      <c r="F1856" s="3">
        <v>45946</v>
      </c>
      <c r="G1856">
        <v>202607</v>
      </c>
      <c r="H1856" t="s">
        <v>79</v>
      </c>
      <c r="I1856" t="s">
        <v>80</v>
      </c>
      <c r="J1856" t="s">
        <v>91</v>
      </c>
      <c r="K1856" t="s">
        <v>78</v>
      </c>
      <c r="L1856" t="s">
        <v>322</v>
      </c>
      <c r="M1856" t="s">
        <v>322</v>
      </c>
      <c r="N1856" t="s">
        <v>483</v>
      </c>
      <c r="O1856" t="s">
        <v>82</v>
      </c>
      <c r="P1856" t="str">
        <f>"4170064536                    "</f>
        <v xml:space="preserve">4170064536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62.87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</v>
      </c>
      <c r="BJ1856">
        <v>3</v>
      </c>
      <c r="BK1856">
        <v>3</v>
      </c>
      <c r="BL1856">
        <v>199.55</v>
      </c>
      <c r="BM1856">
        <v>29.93</v>
      </c>
      <c r="BN1856">
        <v>229.48</v>
      </c>
      <c r="BO1856">
        <v>229.48</v>
      </c>
      <c r="BQ1856" t="s">
        <v>486</v>
      </c>
      <c r="BR1856" t="s">
        <v>97</v>
      </c>
      <c r="BS1856" s="3">
        <v>45947</v>
      </c>
      <c r="BT1856" s="4">
        <v>0.54027777777777775</v>
      </c>
      <c r="BU1856" t="s">
        <v>2594</v>
      </c>
      <c r="BV1856" t="s">
        <v>86</v>
      </c>
      <c r="BY1856">
        <v>15246</v>
      </c>
      <c r="CA1856" t="s">
        <v>2595</v>
      </c>
      <c r="CC1856" t="s">
        <v>322</v>
      </c>
      <c r="CD1856">
        <v>7646</v>
      </c>
      <c r="CE1856" t="s">
        <v>107</v>
      </c>
      <c r="CF1856" s="3">
        <v>45950</v>
      </c>
      <c r="CI1856">
        <v>1</v>
      </c>
      <c r="CJ1856">
        <v>1</v>
      </c>
      <c r="CK1856">
        <v>23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"080068567265"</f>
        <v>080068567265</v>
      </c>
      <c r="F1857" s="3">
        <v>45946</v>
      </c>
      <c r="G1857">
        <v>202607</v>
      </c>
      <c r="H1857" t="s">
        <v>79</v>
      </c>
      <c r="I1857" t="s">
        <v>80</v>
      </c>
      <c r="J1857" t="s">
        <v>91</v>
      </c>
      <c r="K1857" t="s">
        <v>78</v>
      </c>
      <c r="L1857" t="s">
        <v>300</v>
      </c>
      <c r="M1857" t="s">
        <v>301</v>
      </c>
      <c r="N1857" t="s">
        <v>2596</v>
      </c>
      <c r="O1857" t="s">
        <v>82</v>
      </c>
      <c r="P1857" t="str">
        <f>"4170064534                    "</f>
        <v xml:space="preserve">4170064534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46.75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</v>
      </c>
      <c r="BJ1857">
        <v>3</v>
      </c>
      <c r="BK1857">
        <v>3</v>
      </c>
      <c r="BL1857">
        <v>148.38</v>
      </c>
      <c r="BM1857">
        <v>22.26</v>
      </c>
      <c r="BN1857">
        <v>170.64</v>
      </c>
      <c r="BO1857">
        <v>170.64</v>
      </c>
      <c r="BQ1857" t="s">
        <v>2597</v>
      </c>
      <c r="BR1857" t="s">
        <v>97</v>
      </c>
      <c r="BS1857" s="3">
        <v>45947</v>
      </c>
      <c r="BT1857" s="4">
        <v>0.44930555555555557</v>
      </c>
      <c r="BU1857" t="s">
        <v>2598</v>
      </c>
      <c r="BV1857" t="s">
        <v>86</v>
      </c>
      <c r="BY1857">
        <v>15246</v>
      </c>
      <c r="CA1857" t="s">
        <v>2599</v>
      </c>
      <c r="CC1857" t="s">
        <v>301</v>
      </c>
      <c r="CD1857">
        <v>1739</v>
      </c>
      <c r="CE1857" t="s">
        <v>107</v>
      </c>
      <c r="CF1857" s="3">
        <v>45947</v>
      </c>
      <c r="CI1857">
        <v>1</v>
      </c>
      <c r="CJ1857">
        <v>1</v>
      </c>
      <c r="CK1857">
        <v>24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"080068567316"</f>
        <v>080068567316</v>
      </c>
      <c r="F1858" s="3">
        <v>45946</v>
      </c>
      <c r="G1858">
        <v>202607</v>
      </c>
      <c r="H1858" t="s">
        <v>79</v>
      </c>
      <c r="I1858" t="s">
        <v>80</v>
      </c>
      <c r="J1858" t="s">
        <v>91</v>
      </c>
      <c r="K1858" t="s">
        <v>78</v>
      </c>
      <c r="L1858" t="s">
        <v>453</v>
      </c>
      <c r="M1858" t="s">
        <v>454</v>
      </c>
      <c r="N1858" t="s">
        <v>968</v>
      </c>
      <c r="O1858" t="s">
        <v>82</v>
      </c>
      <c r="P1858" t="str">
        <f>"4170064686                    "</f>
        <v xml:space="preserve">4170064686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22.36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70.959999999999994</v>
      </c>
      <c r="BM1858">
        <v>10.64</v>
      </c>
      <c r="BN1858">
        <v>81.599999999999994</v>
      </c>
      <c r="BO1858">
        <v>81.599999999999994</v>
      </c>
      <c r="BQ1858" t="s">
        <v>969</v>
      </c>
      <c r="BR1858" t="s">
        <v>97</v>
      </c>
      <c r="BS1858" s="3">
        <v>45947</v>
      </c>
      <c r="BT1858" s="4">
        <v>0.37986111111111109</v>
      </c>
      <c r="BU1858" t="s">
        <v>1228</v>
      </c>
      <c r="BV1858" t="s">
        <v>86</v>
      </c>
      <c r="BY1858">
        <v>1200</v>
      </c>
      <c r="CA1858" t="s">
        <v>457</v>
      </c>
      <c r="CC1858" t="s">
        <v>454</v>
      </c>
      <c r="CD1858">
        <v>3600</v>
      </c>
      <c r="CE1858" t="s">
        <v>147</v>
      </c>
      <c r="CF1858" s="3">
        <v>45947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"080068567330"</f>
        <v>080068567330</v>
      </c>
      <c r="F1859" s="3">
        <v>45946</v>
      </c>
      <c r="G1859">
        <v>202607</v>
      </c>
      <c r="H1859" t="s">
        <v>79</v>
      </c>
      <c r="I1859" t="s">
        <v>80</v>
      </c>
      <c r="J1859" t="s">
        <v>91</v>
      </c>
      <c r="K1859" t="s">
        <v>78</v>
      </c>
      <c r="L1859" t="s">
        <v>2600</v>
      </c>
      <c r="M1859" t="s">
        <v>2601</v>
      </c>
      <c r="N1859" t="s">
        <v>2602</v>
      </c>
      <c r="O1859" t="s">
        <v>82</v>
      </c>
      <c r="P1859" t="str">
        <f>"4170064691                    "</f>
        <v xml:space="preserve">4170064691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43.31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137.47</v>
      </c>
      <c r="BM1859">
        <v>20.62</v>
      </c>
      <c r="BN1859">
        <v>158.09</v>
      </c>
      <c r="BO1859">
        <v>158.09</v>
      </c>
      <c r="BQ1859" t="s">
        <v>2603</v>
      </c>
      <c r="BR1859" t="s">
        <v>97</v>
      </c>
      <c r="BS1859" s="3">
        <v>45951</v>
      </c>
      <c r="BT1859" s="4">
        <v>0.51527777777777772</v>
      </c>
      <c r="BU1859" t="s">
        <v>2604</v>
      </c>
      <c r="BV1859" t="s">
        <v>90</v>
      </c>
      <c r="BW1859" t="s">
        <v>864</v>
      </c>
      <c r="BX1859" t="s">
        <v>2605</v>
      </c>
      <c r="BY1859">
        <v>1200</v>
      </c>
      <c r="CC1859" t="s">
        <v>2601</v>
      </c>
      <c r="CD1859" s="5" t="s">
        <v>2606</v>
      </c>
      <c r="CE1859" t="s">
        <v>147</v>
      </c>
      <c r="CF1859" s="3">
        <v>45952</v>
      </c>
      <c r="CI1859">
        <v>1</v>
      </c>
      <c r="CJ1859">
        <v>3</v>
      </c>
      <c r="CK1859">
        <v>23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"080068567345"</f>
        <v>080068567345</v>
      </c>
      <c r="F1860" s="3">
        <v>45946</v>
      </c>
      <c r="G1860">
        <v>202607</v>
      </c>
      <c r="H1860" t="s">
        <v>79</v>
      </c>
      <c r="I1860" t="s">
        <v>80</v>
      </c>
      <c r="J1860" t="s">
        <v>91</v>
      </c>
      <c r="K1860" t="s">
        <v>78</v>
      </c>
      <c r="L1860" t="s">
        <v>453</v>
      </c>
      <c r="M1860" t="s">
        <v>454</v>
      </c>
      <c r="N1860" t="s">
        <v>968</v>
      </c>
      <c r="O1860" t="s">
        <v>82</v>
      </c>
      <c r="P1860" t="str">
        <f>"4170064690                    "</f>
        <v xml:space="preserve">4170064690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22.36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70.959999999999994</v>
      </c>
      <c r="BM1860">
        <v>10.64</v>
      </c>
      <c r="BN1860">
        <v>81.599999999999994</v>
      </c>
      <c r="BO1860">
        <v>81.599999999999994</v>
      </c>
      <c r="BQ1860" t="s">
        <v>969</v>
      </c>
      <c r="BR1860" t="s">
        <v>97</v>
      </c>
      <c r="BS1860" s="3">
        <v>45947</v>
      </c>
      <c r="BT1860" s="4">
        <v>0.37986111111111109</v>
      </c>
      <c r="BU1860" t="s">
        <v>1228</v>
      </c>
      <c r="BV1860" t="s">
        <v>86</v>
      </c>
      <c r="BY1860">
        <v>1200</v>
      </c>
      <c r="CA1860" t="s">
        <v>457</v>
      </c>
      <c r="CC1860" t="s">
        <v>454</v>
      </c>
      <c r="CD1860">
        <v>3600</v>
      </c>
      <c r="CE1860" t="s">
        <v>147</v>
      </c>
      <c r="CF1860" s="3">
        <v>45947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"080068567357"</f>
        <v>080068567357</v>
      </c>
      <c r="F1861" s="3">
        <v>45946</v>
      </c>
      <c r="G1861">
        <v>202607</v>
      </c>
      <c r="H1861" t="s">
        <v>79</v>
      </c>
      <c r="I1861" t="s">
        <v>80</v>
      </c>
      <c r="J1861" t="s">
        <v>91</v>
      </c>
      <c r="K1861" t="s">
        <v>78</v>
      </c>
      <c r="L1861" t="s">
        <v>79</v>
      </c>
      <c r="M1861" t="s">
        <v>80</v>
      </c>
      <c r="N1861" t="s">
        <v>2607</v>
      </c>
      <c r="O1861" t="s">
        <v>226</v>
      </c>
      <c r="P1861" t="str">
        <f>"4170063925                    "</f>
        <v xml:space="preserve">4170063925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17.47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1.7</v>
      </c>
      <c r="BK1861">
        <v>2</v>
      </c>
      <c r="BL1861">
        <v>55.44</v>
      </c>
      <c r="BM1861">
        <v>8.32</v>
      </c>
      <c r="BN1861">
        <v>63.76</v>
      </c>
      <c r="BO1861">
        <v>63.76</v>
      </c>
      <c r="BQ1861" t="s">
        <v>2608</v>
      </c>
      <c r="BR1861" t="s">
        <v>97</v>
      </c>
      <c r="BS1861" s="3">
        <v>45947</v>
      </c>
      <c r="BT1861" s="4">
        <v>0.33055555555555555</v>
      </c>
      <c r="BU1861" t="s">
        <v>2609</v>
      </c>
      <c r="BV1861" t="s">
        <v>86</v>
      </c>
      <c r="BY1861">
        <v>8428</v>
      </c>
      <c r="CA1861" t="s">
        <v>1007</v>
      </c>
      <c r="CC1861" t="s">
        <v>80</v>
      </c>
      <c r="CD1861">
        <v>1609</v>
      </c>
      <c r="CE1861" t="s">
        <v>107</v>
      </c>
      <c r="CF1861" s="3">
        <v>45947</v>
      </c>
      <c r="CI1861">
        <v>1</v>
      </c>
      <c r="CJ1861">
        <v>1</v>
      </c>
      <c r="CK1861">
        <v>32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"080068567392"</f>
        <v>080068567392</v>
      </c>
      <c r="F1862" s="3">
        <v>45946</v>
      </c>
      <c r="G1862">
        <v>202607</v>
      </c>
      <c r="H1862" t="s">
        <v>79</v>
      </c>
      <c r="I1862" t="s">
        <v>80</v>
      </c>
      <c r="J1862" t="s">
        <v>91</v>
      </c>
      <c r="K1862" t="s">
        <v>78</v>
      </c>
      <c r="L1862" t="s">
        <v>453</v>
      </c>
      <c r="M1862" t="s">
        <v>454</v>
      </c>
      <c r="N1862" t="s">
        <v>563</v>
      </c>
      <c r="O1862" t="s">
        <v>82</v>
      </c>
      <c r="P1862" t="str">
        <f>"4170064570                    "</f>
        <v xml:space="preserve">4170064570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33.520000000000003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</v>
      </c>
      <c r="BJ1862">
        <v>1.8</v>
      </c>
      <c r="BK1862">
        <v>3</v>
      </c>
      <c r="BL1862">
        <v>106.4</v>
      </c>
      <c r="BM1862">
        <v>15.96</v>
      </c>
      <c r="BN1862">
        <v>122.36</v>
      </c>
      <c r="BO1862">
        <v>122.36</v>
      </c>
      <c r="BQ1862" t="s">
        <v>564</v>
      </c>
      <c r="BR1862" t="s">
        <v>97</v>
      </c>
      <c r="BS1862" s="3">
        <v>45947</v>
      </c>
      <c r="BT1862" s="4">
        <v>0.43055555555555558</v>
      </c>
      <c r="BU1862" t="s">
        <v>2610</v>
      </c>
      <c r="BV1862" t="s">
        <v>86</v>
      </c>
      <c r="BY1862">
        <v>9016</v>
      </c>
      <c r="CA1862" t="s">
        <v>742</v>
      </c>
      <c r="CC1862" t="s">
        <v>454</v>
      </c>
      <c r="CD1862">
        <v>3610</v>
      </c>
      <c r="CE1862" t="s">
        <v>107</v>
      </c>
      <c r="CF1862" s="3">
        <v>45948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"080068567398"</f>
        <v>080068567398</v>
      </c>
      <c r="F1863" s="3">
        <v>45946</v>
      </c>
      <c r="G1863">
        <v>202607</v>
      </c>
      <c r="H1863" t="s">
        <v>79</v>
      </c>
      <c r="I1863" t="s">
        <v>80</v>
      </c>
      <c r="J1863" t="s">
        <v>91</v>
      </c>
      <c r="K1863" t="s">
        <v>78</v>
      </c>
      <c r="L1863" t="s">
        <v>168</v>
      </c>
      <c r="M1863" t="s">
        <v>169</v>
      </c>
      <c r="N1863" t="s">
        <v>911</v>
      </c>
      <c r="O1863" t="s">
        <v>82</v>
      </c>
      <c r="P1863" t="str">
        <f>"4170064661                    "</f>
        <v xml:space="preserve">4170064661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22.36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70.959999999999994</v>
      </c>
      <c r="BM1863">
        <v>10.64</v>
      </c>
      <c r="BN1863">
        <v>81.599999999999994</v>
      </c>
      <c r="BO1863">
        <v>81.599999999999994</v>
      </c>
      <c r="BQ1863" t="s">
        <v>912</v>
      </c>
      <c r="BR1863" t="s">
        <v>97</v>
      </c>
      <c r="BS1863" s="3">
        <v>45947</v>
      </c>
      <c r="BT1863" s="4">
        <v>0.5708333333333333</v>
      </c>
      <c r="BU1863" t="s">
        <v>2611</v>
      </c>
      <c r="BV1863" t="s">
        <v>90</v>
      </c>
      <c r="BY1863">
        <v>1200</v>
      </c>
      <c r="CA1863">
        <v>8201095431082</v>
      </c>
      <c r="CC1863" t="s">
        <v>169</v>
      </c>
      <c r="CD1863" s="5" t="s">
        <v>914</v>
      </c>
      <c r="CE1863" t="s">
        <v>147</v>
      </c>
      <c r="CF1863" s="3">
        <v>45948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"080068567430"</f>
        <v>080068567430</v>
      </c>
      <c r="F1864" s="3">
        <v>45946</v>
      </c>
      <c r="G1864">
        <v>202607</v>
      </c>
      <c r="H1864" t="s">
        <v>79</v>
      </c>
      <c r="I1864" t="s">
        <v>80</v>
      </c>
      <c r="J1864" t="s">
        <v>91</v>
      </c>
      <c r="K1864" t="s">
        <v>78</v>
      </c>
      <c r="L1864" t="s">
        <v>206</v>
      </c>
      <c r="M1864" t="s">
        <v>207</v>
      </c>
      <c r="N1864" t="s">
        <v>566</v>
      </c>
      <c r="O1864" t="s">
        <v>82</v>
      </c>
      <c r="P1864" t="str">
        <f>"4170064631                    "</f>
        <v xml:space="preserve">4170064631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39.11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2</v>
      </c>
      <c r="BJ1864">
        <v>3.4</v>
      </c>
      <c r="BK1864">
        <v>3.5</v>
      </c>
      <c r="BL1864">
        <v>124.13</v>
      </c>
      <c r="BM1864">
        <v>18.62</v>
      </c>
      <c r="BN1864">
        <v>142.75</v>
      </c>
      <c r="BO1864">
        <v>142.75</v>
      </c>
      <c r="BQ1864" t="s">
        <v>567</v>
      </c>
      <c r="BR1864" t="s">
        <v>97</v>
      </c>
      <c r="BS1864" s="3">
        <v>45947</v>
      </c>
      <c r="BT1864" s="4">
        <v>0.39652777777777776</v>
      </c>
      <c r="BU1864" t="s">
        <v>1800</v>
      </c>
      <c r="BV1864" t="s">
        <v>86</v>
      </c>
      <c r="BY1864">
        <v>16965</v>
      </c>
      <c r="CA1864" t="s">
        <v>569</v>
      </c>
      <c r="CC1864" t="s">
        <v>207</v>
      </c>
      <c r="CD1864">
        <v>7945</v>
      </c>
      <c r="CE1864" t="s">
        <v>191</v>
      </c>
      <c r="CF1864" s="3">
        <v>45950</v>
      </c>
      <c r="CI1864">
        <v>1</v>
      </c>
      <c r="CJ1864">
        <v>1</v>
      </c>
      <c r="CK1864">
        <v>21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"080068567434"</f>
        <v>080068567434</v>
      </c>
      <c r="F1865" s="3">
        <v>45946</v>
      </c>
      <c r="G1865">
        <v>202607</v>
      </c>
      <c r="H1865" t="s">
        <v>79</v>
      </c>
      <c r="I1865" t="s">
        <v>80</v>
      </c>
      <c r="J1865" t="s">
        <v>91</v>
      </c>
      <c r="K1865" t="s">
        <v>78</v>
      </c>
      <c r="L1865" t="s">
        <v>809</v>
      </c>
      <c r="M1865" t="s">
        <v>810</v>
      </c>
      <c r="N1865" t="s">
        <v>1353</v>
      </c>
      <c r="O1865" t="s">
        <v>82</v>
      </c>
      <c r="P1865" t="str">
        <f>"4170064533                    "</f>
        <v xml:space="preserve">4170064533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17.46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55.42</v>
      </c>
      <c r="BM1865">
        <v>8.31</v>
      </c>
      <c r="BN1865">
        <v>63.73</v>
      </c>
      <c r="BO1865">
        <v>63.73</v>
      </c>
      <c r="BQ1865" t="s">
        <v>1354</v>
      </c>
      <c r="BR1865" t="s">
        <v>97</v>
      </c>
      <c r="BS1865" s="3">
        <v>45947</v>
      </c>
      <c r="BT1865" s="4">
        <v>0.41458333333333336</v>
      </c>
      <c r="BU1865" t="s">
        <v>1355</v>
      </c>
      <c r="BV1865" t="s">
        <v>86</v>
      </c>
      <c r="BY1865">
        <v>1200</v>
      </c>
      <c r="CA1865" t="s">
        <v>1356</v>
      </c>
      <c r="CC1865" t="s">
        <v>810</v>
      </c>
      <c r="CD1865">
        <v>1724</v>
      </c>
      <c r="CE1865" t="s">
        <v>147</v>
      </c>
      <c r="CF1865" s="3">
        <v>45947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"080068567457"</f>
        <v>080068567457</v>
      </c>
      <c r="F1866" s="3">
        <v>45946</v>
      </c>
      <c r="G1866">
        <v>202607</v>
      </c>
      <c r="H1866" t="s">
        <v>79</v>
      </c>
      <c r="I1866" t="s">
        <v>80</v>
      </c>
      <c r="J1866" t="s">
        <v>91</v>
      </c>
      <c r="K1866" t="s">
        <v>78</v>
      </c>
      <c r="L1866" t="s">
        <v>108</v>
      </c>
      <c r="M1866" t="s">
        <v>109</v>
      </c>
      <c r="N1866" t="s">
        <v>229</v>
      </c>
      <c r="O1866" t="s">
        <v>82</v>
      </c>
      <c r="P1866" t="str">
        <f>"4170064597                    "</f>
        <v xml:space="preserve">4170064597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22.36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1.1000000000000001</v>
      </c>
      <c r="BK1866">
        <v>1.5</v>
      </c>
      <c r="BL1866">
        <v>70.959999999999994</v>
      </c>
      <c r="BM1866">
        <v>10.64</v>
      </c>
      <c r="BN1866">
        <v>81.599999999999994</v>
      </c>
      <c r="BO1866">
        <v>81.599999999999994</v>
      </c>
      <c r="BQ1866" t="s">
        <v>230</v>
      </c>
      <c r="BR1866" t="s">
        <v>97</v>
      </c>
      <c r="BS1866" s="3">
        <v>45947</v>
      </c>
      <c r="BT1866" s="4">
        <v>0.42430555555555555</v>
      </c>
      <c r="BU1866" t="s">
        <v>1158</v>
      </c>
      <c r="BV1866" t="s">
        <v>86</v>
      </c>
      <c r="BY1866">
        <v>5510</v>
      </c>
      <c r="CA1866" t="s">
        <v>1145</v>
      </c>
      <c r="CC1866" t="s">
        <v>109</v>
      </c>
      <c r="CD1866">
        <v>6001</v>
      </c>
      <c r="CE1866" t="s">
        <v>191</v>
      </c>
      <c r="CF1866" s="3">
        <v>45947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"080068567460"</f>
        <v>080068567460</v>
      </c>
      <c r="F1867" s="3">
        <v>45946</v>
      </c>
      <c r="G1867">
        <v>202607</v>
      </c>
      <c r="H1867" t="s">
        <v>79</v>
      </c>
      <c r="I1867" t="s">
        <v>80</v>
      </c>
      <c r="J1867" t="s">
        <v>91</v>
      </c>
      <c r="K1867" t="s">
        <v>78</v>
      </c>
      <c r="L1867" t="s">
        <v>453</v>
      </c>
      <c r="M1867" t="s">
        <v>454</v>
      </c>
      <c r="N1867" t="s">
        <v>968</v>
      </c>
      <c r="O1867" t="s">
        <v>82</v>
      </c>
      <c r="P1867" t="str">
        <f>"4170064689                    "</f>
        <v xml:space="preserve">4170064689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22.36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70.959999999999994</v>
      </c>
      <c r="BM1867">
        <v>10.64</v>
      </c>
      <c r="BN1867">
        <v>81.599999999999994</v>
      </c>
      <c r="BO1867">
        <v>81.599999999999994</v>
      </c>
      <c r="BQ1867" t="s">
        <v>969</v>
      </c>
      <c r="BR1867" t="s">
        <v>97</v>
      </c>
      <c r="BS1867" s="3">
        <v>45947</v>
      </c>
      <c r="BT1867" s="4">
        <v>0.37986111111111109</v>
      </c>
      <c r="BU1867" t="s">
        <v>1228</v>
      </c>
      <c r="BV1867" t="s">
        <v>86</v>
      </c>
      <c r="BY1867">
        <v>1200</v>
      </c>
      <c r="CA1867" t="s">
        <v>457</v>
      </c>
      <c r="CC1867" t="s">
        <v>454</v>
      </c>
      <c r="CD1867">
        <v>3600</v>
      </c>
      <c r="CE1867" t="s">
        <v>147</v>
      </c>
      <c r="CF1867" s="3">
        <v>45947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"080068567496"</f>
        <v>080068567496</v>
      </c>
      <c r="F1868" s="3">
        <v>45946</v>
      </c>
      <c r="G1868">
        <v>202607</v>
      </c>
      <c r="H1868" t="s">
        <v>79</v>
      </c>
      <c r="I1868" t="s">
        <v>80</v>
      </c>
      <c r="J1868" t="s">
        <v>91</v>
      </c>
      <c r="K1868" t="s">
        <v>78</v>
      </c>
      <c r="L1868" t="s">
        <v>223</v>
      </c>
      <c r="M1868" t="s">
        <v>224</v>
      </c>
      <c r="N1868" t="s">
        <v>1592</v>
      </c>
      <c r="O1868" t="s">
        <v>82</v>
      </c>
      <c r="P1868" t="str">
        <f>"4170064621                    "</f>
        <v xml:space="preserve">4170064621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21.65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6</v>
      </c>
      <c r="BJ1868">
        <v>9.1</v>
      </c>
      <c r="BK1868">
        <v>10</v>
      </c>
      <c r="BL1868">
        <v>68.709999999999994</v>
      </c>
      <c r="BM1868">
        <v>10.31</v>
      </c>
      <c r="BN1868">
        <v>79.02</v>
      </c>
      <c r="BO1868">
        <v>79.02</v>
      </c>
      <c r="BQ1868" t="s">
        <v>1593</v>
      </c>
      <c r="BR1868" t="s">
        <v>97</v>
      </c>
      <c r="BS1868" s="3">
        <v>45947</v>
      </c>
      <c r="BT1868" s="4">
        <v>0.41597222222222224</v>
      </c>
      <c r="BU1868" t="s">
        <v>2612</v>
      </c>
      <c r="BV1868" t="s">
        <v>86</v>
      </c>
      <c r="BY1868">
        <v>45632</v>
      </c>
      <c r="CA1868" t="s">
        <v>1595</v>
      </c>
      <c r="CC1868" t="s">
        <v>224</v>
      </c>
      <c r="CD1868">
        <v>1459</v>
      </c>
      <c r="CE1868" t="s">
        <v>191</v>
      </c>
      <c r="CF1868" s="3">
        <v>45948</v>
      </c>
      <c r="CI1868">
        <v>1</v>
      </c>
      <c r="CJ1868">
        <v>1</v>
      </c>
      <c r="CK1868">
        <v>22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"080068567537"</f>
        <v>080068567537</v>
      </c>
      <c r="F1869" s="3">
        <v>45946</v>
      </c>
      <c r="G1869">
        <v>202607</v>
      </c>
      <c r="H1869" t="s">
        <v>79</v>
      </c>
      <c r="I1869" t="s">
        <v>80</v>
      </c>
      <c r="J1869" t="s">
        <v>91</v>
      </c>
      <c r="K1869" t="s">
        <v>78</v>
      </c>
      <c r="L1869" t="s">
        <v>322</v>
      </c>
      <c r="M1869" t="s">
        <v>322</v>
      </c>
      <c r="N1869" t="s">
        <v>483</v>
      </c>
      <c r="O1869" t="s">
        <v>82</v>
      </c>
      <c r="P1869" t="str">
        <f>"4170064508                    "</f>
        <v xml:space="preserve">4170064508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150.88999999999999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2</v>
      </c>
      <c r="BI1869">
        <v>5</v>
      </c>
      <c r="BJ1869">
        <v>7.1</v>
      </c>
      <c r="BK1869">
        <v>7.5</v>
      </c>
      <c r="BL1869">
        <v>478.91</v>
      </c>
      <c r="BM1869">
        <v>71.84</v>
      </c>
      <c r="BN1869">
        <v>550.75</v>
      </c>
      <c r="BO1869">
        <v>550.75</v>
      </c>
      <c r="BQ1869" t="s">
        <v>486</v>
      </c>
      <c r="BR1869" t="s">
        <v>97</v>
      </c>
      <c r="BS1869" s="3">
        <v>45947</v>
      </c>
      <c r="BT1869" s="4">
        <v>0.5395833333333333</v>
      </c>
      <c r="BU1869" t="s">
        <v>485</v>
      </c>
      <c r="BV1869" t="s">
        <v>86</v>
      </c>
      <c r="BY1869">
        <v>35504</v>
      </c>
      <c r="CA1869" t="s">
        <v>326</v>
      </c>
      <c r="CC1869" t="s">
        <v>322</v>
      </c>
      <c r="CD1869">
        <v>7646</v>
      </c>
      <c r="CE1869" t="s">
        <v>107</v>
      </c>
      <c r="CF1869" s="3">
        <v>45950</v>
      </c>
      <c r="CI1869">
        <v>1</v>
      </c>
      <c r="CJ1869">
        <v>1</v>
      </c>
      <c r="CK1869">
        <v>23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"080068567573"</f>
        <v>080068567573</v>
      </c>
      <c r="F1870" s="3">
        <v>45946</v>
      </c>
      <c r="G1870">
        <v>202607</v>
      </c>
      <c r="H1870" t="s">
        <v>79</v>
      </c>
      <c r="I1870" t="s">
        <v>80</v>
      </c>
      <c r="J1870" t="s">
        <v>91</v>
      </c>
      <c r="K1870" t="s">
        <v>78</v>
      </c>
      <c r="L1870" t="s">
        <v>108</v>
      </c>
      <c r="M1870" t="s">
        <v>109</v>
      </c>
      <c r="N1870" t="s">
        <v>938</v>
      </c>
      <c r="O1870" t="s">
        <v>82</v>
      </c>
      <c r="P1870" t="str">
        <f>"4170064657                    "</f>
        <v xml:space="preserve">4170064657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33.520000000000003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3</v>
      </c>
      <c r="BJ1870">
        <v>2</v>
      </c>
      <c r="BK1870">
        <v>3</v>
      </c>
      <c r="BL1870">
        <v>106.4</v>
      </c>
      <c r="BM1870">
        <v>15.96</v>
      </c>
      <c r="BN1870">
        <v>122.36</v>
      </c>
      <c r="BO1870">
        <v>122.36</v>
      </c>
      <c r="BQ1870" t="s">
        <v>939</v>
      </c>
      <c r="BR1870" t="s">
        <v>97</v>
      </c>
      <c r="BS1870" s="3">
        <v>45947</v>
      </c>
      <c r="BT1870" s="4">
        <v>0.45694444444444443</v>
      </c>
      <c r="BU1870" t="s">
        <v>2613</v>
      </c>
      <c r="BV1870" t="s">
        <v>90</v>
      </c>
      <c r="BY1870">
        <v>9900</v>
      </c>
      <c r="CA1870" t="s">
        <v>1145</v>
      </c>
      <c r="CC1870" t="s">
        <v>109</v>
      </c>
      <c r="CD1870">
        <v>6056</v>
      </c>
      <c r="CE1870" t="s">
        <v>191</v>
      </c>
      <c r="CF1870" s="3">
        <v>45947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"080068567607"</f>
        <v>080068567607</v>
      </c>
      <c r="F1871" s="3">
        <v>45946</v>
      </c>
      <c r="G1871">
        <v>202607</v>
      </c>
      <c r="H1871" t="s">
        <v>79</v>
      </c>
      <c r="I1871" t="s">
        <v>80</v>
      </c>
      <c r="J1871" t="s">
        <v>91</v>
      </c>
      <c r="K1871" t="s">
        <v>78</v>
      </c>
      <c r="L1871" t="s">
        <v>223</v>
      </c>
      <c r="M1871" t="s">
        <v>224</v>
      </c>
      <c r="N1871" t="s">
        <v>505</v>
      </c>
      <c r="O1871" t="s">
        <v>226</v>
      </c>
      <c r="P1871" t="str">
        <f>"4170064684                    "</f>
        <v xml:space="preserve">4170064684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17.47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4</v>
      </c>
      <c r="BJ1871">
        <v>3.4</v>
      </c>
      <c r="BK1871">
        <v>4</v>
      </c>
      <c r="BL1871">
        <v>55.44</v>
      </c>
      <c r="BM1871">
        <v>8.32</v>
      </c>
      <c r="BN1871">
        <v>63.76</v>
      </c>
      <c r="BO1871">
        <v>63.76</v>
      </c>
      <c r="BQ1871" t="s">
        <v>506</v>
      </c>
      <c r="BR1871" t="s">
        <v>97</v>
      </c>
      <c r="BS1871" s="3">
        <v>45947</v>
      </c>
      <c r="BT1871" s="4">
        <v>0.30902777777777779</v>
      </c>
      <c r="BU1871" t="s">
        <v>1093</v>
      </c>
      <c r="BV1871" t="s">
        <v>86</v>
      </c>
      <c r="BY1871">
        <v>16965</v>
      </c>
      <c r="CA1871" t="s">
        <v>1459</v>
      </c>
      <c r="CC1871" t="s">
        <v>224</v>
      </c>
      <c r="CD1871">
        <v>1459</v>
      </c>
      <c r="CE1871" t="s">
        <v>191</v>
      </c>
      <c r="CF1871" s="3">
        <v>45947</v>
      </c>
      <c r="CI1871">
        <v>1</v>
      </c>
      <c r="CJ1871">
        <v>1</v>
      </c>
      <c r="CK1871">
        <v>32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"080068567612"</f>
        <v>080068567612</v>
      </c>
      <c r="F1872" s="3">
        <v>45946</v>
      </c>
      <c r="G1872">
        <v>202607</v>
      </c>
      <c r="H1872" t="s">
        <v>79</v>
      </c>
      <c r="I1872" t="s">
        <v>80</v>
      </c>
      <c r="J1872" t="s">
        <v>91</v>
      </c>
      <c r="K1872" t="s">
        <v>78</v>
      </c>
      <c r="L1872" t="s">
        <v>108</v>
      </c>
      <c r="M1872" t="s">
        <v>109</v>
      </c>
      <c r="N1872" t="s">
        <v>2614</v>
      </c>
      <c r="O1872" t="s">
        <v>82</v>
      </c>
      <c r="P1872" t="str">
        <f>"4170064581                    "</f>
        <v xml:space="preserve">4170064581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22.36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1.1000000000000001</v>
      </c>
      <c r="BK1872">
        <v>1.5</v>
      </c>
      <c r="BL1872">
        <v>70.959999999999994</v>
      </c>
      <c r="BM1872">
        <v>10.64</v>
      </c>
      <c r="BN1872">
        <v>81.599999999999994</v>
      </c>
      <c r="BO1872">
        <v>81.599999999999994</v>
      </c>
      <c r="BQ1872" t="s">
        <v>2615</v>
      </c>
      <c r="BR1872" t="s">
        <v>97</v>
      </c>
      <c r="BS1872" s="3">
        <v>45947</v>
      </c>
      <c r="BT1872" s="4">
        <v>0.43541666666666667</v>
      </c>
      <c r="BU1872" t="s">
        <v>2616</v>
      </c>
      <c r="BV1872" t="s">
        <v>86</v>
      </c>
      <c r="BY1872">
        <v>5320</v>
      </c>
      <c r="CA1872" t="s">
        <v>1090</v>
      </c>
      <c r="CC1872" t="s">
        <v>109</v>
      </c>
      <c r="CD1872">
        <v>6012</v>
      </c>
      <c r="CE1872" t="s">
        <v>191</v>
      </c>
      <c r="CF1872" s="3">
        <v>45947</v>
      </c>
      <c r="CI1872">
        <v>1</v>
      </c>
      <c r="CJ1872">
        <v>1</v>
      </c>
      <c r="CK1872">
        <v>21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"080068567621"</f>
        <v>080068567621</v>
      </c>
      <c r="F1873" s="3">
        <v>45946</v>
      </c>
      <c r="G1873">
        <v>202607</v>
      </c>
      <c r="H1873" t="s">
        <v>79</v>
      </c>
      <c r="I1873" t="s">
        <v>80</v>
      </c>
      <c r="J1873" t="s">
        <v>91</v>
      </c>
      <c r="K1873" t="s">
        <v>78</v>
      </c>
      <c r="L1873" t="s">
        <v>223</v>
      </c>
      <c r="M1873" t="s">
        <v>224</v>
      </c>
      <c r="N1873" t="s">
        <v>505</v>
      </c>
      <c r="O1873" t="s">
        <v>82</v>
      </c>
      <c r="P1873" t="str">
        <f>"4170064682                    "</f>
        <v xml:space="preserve">4170064682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17.46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55.42</v>
      </c>
      <c r="BM1873">
        <v>8.31</v>
      </c>
      <c r="BN1873">
        <v>63.73</v>
      </c>
      <c r="BO1873">
        <v>63.73</v>
      </c>
      <c r="BQ1873" t="s">
        <v>506</v>
      </c>
      <c r="BR1873" t="s">
        <v>97</v>
      </c>
      <c r="BS1873" s="3">
        <v>45947</v>
      </c>
      <c r="BT1873" s="4">
        <v>0.30555555555555558</v>
      </c>
      <c r="BU1873" t="s">
        <v>1093</v>
      </c>
      <c r="BV1873" t="s">
        <v>86</v>
      </c>
      <c r="BY1873">
        <v>1200</v>
      </c>
      <c r="CA1873" t="s">
        <v>1459</v>
      </c>
      <c r="CC1873" t="s">
        <v>224</v>
      </c>
      <c r="CD1873">
        <v>1459</v>
      </c>
      <c r="CE1873" t="s">
        <v>147</v>
      </c>
      <c r="CF1873" s="3">
        <v>45947</v>
      </c>
      <c r="CI1873">
        <v>1</v>
      </c>
      <c r="CJ1873">
        <v>1</v>
      </c>
      <c r="CK1873">
        <v>22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"080068567655"</f>
        <v>080068567655</v>
      </c>
      <c r="F1874" s="3">
        <v>45946</v>
      </c>
      <c r="G1874">
        <v>202607</v>
      </c>
      <c r="H1874" t="s">
        <v>79</v>
      </c>
      <c r="I1874" t="s">
        <v>80</v>
      </c>
      <c r="J1874" t="s">
        <v>91</v>
      </c>
      <c r="K1874" t="s">
        <v>78</v>
      </c>
      <c r="L1874" t="s">
        <v>469</v>
      </c>
      <c r="M1874" t="s">
        <v>470</v>
      </c>
      <c r="N1874" t="s">
        <v>471</v>
      </c>
      <c r="O1874" t="s">
        <v>95</v>
      </c>
      <c r="P1874" t="str">
        <f>"4170064634                    "</f>
        <v xml:space="preserve">4170064634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76.540000000000006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10</v>
      </c>
      <c r="BJ1874">
        <v>20</v>
      </c>
      <c r="BK1874">
        <v>20</v>
      </c>
      <c r="BL1874">
        <v>248.81</v>
      </c>
      <c r="BM1874">
        <v>37.32</v>
      </c>
      <c r="BN1874">
        <v>286.13</v>
      </c>
      <c r="BO1874">
        <v>286.13</v>
      </c>
      <c r="BQ1874" t="s">
        <v>1724</v>
      </c>
      <c r="BR1874" t="s">
        <v>97</v>
      </c>
      <c r="BS1874" s="3">
        <v>45950</v>
      </c>
      <c r="BT1874" s="4">
        <v>0.51597222222222228</v>
      </c>
      <c r="BU1874" t="s">
        <v>2617</v>
      </c>
      <c r="BV1874" t="s">
        <v>86</v>
      </c>
      <c r="BY1874">
        <v>100000</v>
      </c>
      <c r="CA1874" t="s">
        <v>2618</v>
      </c>
      <c r="CC1874" t="s">
        <v>470</v>
      </c>
      <c r="CD1874">
        <v>7300</v>
      </c>
      <c r="CE1874" t="s">
        <v>107</v>
      </c>
      <c r="CF1874" s="3">
        <v>45951</v>
      </c>
      <c r="CI1874">
        <v>3</v>
      </c>
      <c r="CJ1874">
        <v>2</v>
      </c>
      <c r="CK1874">
        <v>43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"080068567716"</f>
        <v>080068567716</v>
      </c>
      <c r="F1875" s="3">
        <v>45946</v>
      </c>
      <c r="G1875">
        <v>202607</v>
      </c>
      <c r="H1875" t="s">
        <v>79</v>
      </c>
      <c r="I1875" t="s">
        <v>80</v>
      </c>
      <c r="J1875" t="s">
        <v>91</v>
      </c>
      <c r="K1875" t="s">
        <v>78</v>
      </c>
      <c r="L1875" t="s">
        <v>121</v>
      </c>
      <c r="M1875" t="s">
        <v>122</v>
      </c>
      <c r="N1875" t="s">
        <v>133</v>
      </c>
      <c r="O1875" t="s">
        <v>82</v>
      </c>
      <c r="P1875" t="str">
        <f>"4170064652                    "</f>
        <v xml:space="preserve">4170064652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22.36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70.959999999999994</v>
      </c>
      <c r="BM1875">
        <v>10.64</v>
      </c>
      <c r="BN1875">
        <v>81.599999999999994</v>
      </c>
      <c r="BO1875">
        <v>81.599999999999994</v>
      </c>
      <c r="BQ1875" t="s">
        <v>134</v>
      </c>
      <c r="BR1875" t="s">
        <v>97</v>
      </c>
      <c r="BS1875" s="3">
        <v>45947</v>
      </c>
      <c r="BT1875" s="4">
        <v>0.42152777777777778</v>
      </c>
      <c r="BU1875" t="s">
        <v>1997</v>
      </c>
      <c r="BV1875" t="s">
        <v>86</v>
      </c>
      <c r="BY1875">
        <v>1200</v>
      </c>
      <c r="CA1875" t="s">
        <v>742</v>
      </c>
      <c r="CC1875" t="s">
        <v>122</v>
      </c>
      <c r="CD1875">
        <v>4001</v>
      </c>
      <c r="CE1875" t="s">
        <v>147</v>
      </c>
      <c r="CF1875" s="3">
        <v>45948</v>
      </c>
      <c r="CI1875">
        <v>1</v>
      </c>
      <c r="CJ1875">
        <v>1</v>
      </c>
      <c r="CK1875">
        <v>21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"080068567736"</f>
        <v>080068567736</v>
      </c>
      <c r="F1876" s="3">
        <v>45946</v>
      </c>
      <c r="G1876">
        <v>202607</v>
      </c>
      <c r="H1876" t="s">
        <v>79</v>
      </c>
      <c r="I1876" t="s">
        <v>80</v>
      </c>
      <c r="J1876" t="s">
        <v>91</v>
      </c>
      <c r="K1876" t="s">
        <v>78</v>
      </c>
      <c r="L1876" t="s">
        <v>148</v>
      </c>
      <c r="M1876" t="s">
        <v>149</v>
      </c>
      <c r="N1876" t="s">
        <v>497</v>
      </c>
      <c r="O1876" t="s">
        <v>95</v>
      </c>
      <c r="P1876" t="str">
        <f>"4170064311                    "</f>
        <v xml:space="preserve">4170064311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48.96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16.739999999999998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20</v>
      </c>
      <c r="BJ1876">
        <v>30.9</v>
      </c>
      <c r="BK1876">
        <v>31</v>
      </c>
      <c r="BL1876">
        <v>178.01</v>
      </c>
      <c r="BM1876">
        <v>26.7</v>
      </c>
      <c r="BN1876">
        <v>204.71</v>
      </c>
      <c r="BO1876">
        <v>204.71</v>
      </c>
      <c r="BQ1876" t="s">
        <v>498</v>
      </c>
      <c r="BR1876" t="s">
        <v>97</v>
      </c>
      <c r="BS1876" s="3">
        <v>45947</v>
      </c>
      <c r="BT1876" s="4">
        <v>0.41319444444444442</v>
      </c>
      <c r="BU1876" t="s">
        <v>499</v>
      </c>
      <c r="BV1876" t="s">
        <v>86</v>
      </c>
      <c r="BY1876">
        <v>154560</v>
      </c>
      <c r="BZ1876" t="s">
        <v>30</v>
      </c>
      <c r="CA1876" t="s">
        <v>501</v>
      </c>
      <c r="CC1876" t="s">
        <v>149</v>
      </c>
      <c r="CD1876">
        <v>2188</v>
      </c>
      <c r="CE1876" t="s">
        <v>191</v>
      </c>
      <c r="CF1876" s="3">
        <v>45947</v>
      </c>
      <c r="CI1876">
        <v>1</v>
      </c>
      <c r="CJ1876">
        <v>1</v>
      </c>
      <c r="CK1876">
        <v>42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"080068567758"</f>
        <v>080068567758</v>
      </c>
      <c r="F1877" s="3">
        <v>45946</v>
      </c>
      <c r="G1877">
        <v>202607</v>
      </c>
      <c r="H1877" t="s">
        <v>79</v>
      </c>
      <c r="I1877" t="s">
        <v>80</v>
      </c>
      <c r="J1877" t="s">
        <v>91</v>
      </c>
      <c r="K1877" t="s">
        <v>78</v>
      </c>
      <c r="L1877" t="s">
        <v>223</v>
      </c>
      <c r="M1877" t="s">
        <v>224</v>
      </c>
      <c r="N1877" t="s">
        <v>505</v>
      </c>
      <c r="O1877" t="s">
        <v>82</v>
      </c>
      <c r="P1877" t="str">
        <f>"4170064687                    "</f>
        <v xml:space="preserve">4170064687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17.46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1.4</v>
      </c>
      <c r="BK1877">
        <v>3</v>
      </c>
      <c r="BL1877">
        <v>55.42</v>
      </c>
      <c r="BM1877">
        <v>8.31</v>
      </c>
      <c r="BN1877">
        <v>63.73</v>
      </c>
      <c r="BO1877">
        <v>63.73</v>
      </c>
      <c r="BQ1877" t="s">
        <v>506</v>
      </c>
      <c r="BR1877" t="s">
        <v>97</v>
      </c>
      <c r="BS1877" s="3">
        <v>45947</v>
      </c>
      <c r="BT1877" s="4">
        <v>0.30694444444444446</v>
      </c>
      <c r="BU1877" t="s">
        <v>1093</v>
      </c>
      <c r="BV1877" t="s">
        <v>86</v>
      </c>
      <c r="BY1877">
        <v>7000</v>
      </c>
      <c r="CA1877" t="s">
        <v>1459</v>
      </c>
      <c r="CC1877" t="s">
        <v>224</v>
      </c>
      <c r="CD1877">
        <v>1459</v>
      </c>
      <c r="CE1877" t="s">
        <v>191</v>
      </c>
      <c r="CF1877" s="3">
        <v>45947</v>
      </c>
      <c r="CI1877">
        <v>1</v>
      </c>
      <c r="CJ1877">
        <v>1</v>
      </c>
      <c r="CK1877">
        <v>22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"080068567770"</f>
        <v>080068567770</v>
      </c>
      <c r="F1878" s="3">
        <v>45946</v>
      </c>
      <c r="G1878">
        <v>202607</v>
      </c>
      <c r="H1878" t="s">
        <v>79</v>
      </c>
      <c r="I1878" t="s">
        <v>80</v>
      </c>
      <c r="J1878" t="s">
        <v>91</v>
      </c>
      <c r="K1878" t="s">
        <v>78</v>
      </c>
      <c r="L1878" t="s">
        <v>218</v>
      </c>
      <c r="M1878" t="s">
        <v>219</v>
      </c>
      <c r="N1878" t="s">
        <v>898</v>
      </c>
      <c r="O1878" t="s">
        <v>82</v>
      </c>
      <c r="P1878" t="str">
        <f>"4170064564                    "</f>
        <v xml:space="preserve">4170064564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17.46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</v>
      </c>
      <c r="BJ1878">
        <v>1.4</v>
      </c>
      <c r="BK1878">
        <v>2</v>
      </c>
      <c r="BL1878">
        <v>55.42</v>
      </c>
      <c r="BM1878">
        <v>8.31</v>
      </c>
      <c r="BN1878">
        <v>63.73</v>
      </c>
      <c r="BO1878">
        <v>63.73</v>
      </c>
      <c r="BQ1878" t="s">
        <v>899</v>
      </c>
      <c r="BR1878" t="s">
        <v>97</v>
      </c>
      <c r="BS1878" s="3">
        <v>45947</v>
      </c>
      <c r="BT1878" s="4">
        <v>0.31041666666666667</v>
      </c>
      <c r="BU1878" t="s">
        <v>568</v>
      </c>
      <c r="BV1878" t="s">
        <v>86</v>
      </c>
      <c r="BY1878">
        <v>7000</v>
      </c>
      <c r="CA1878" t="s">
        <v>1434</v>
      </c>
      <c r="CC1878" t="s">
        <v>219</v>
      </c>
      <c r="CD1878">
        <v>1559</v>
      </c>
      <c r="CE1878" t="s">
        <v>191</v>
      </c>
      <c r="CF1878" s="3">
        <v>45947</v>
      </c>
      <c r="CI1878">
        <v>1</v>
      </c>
      <c r="CJ1878">
        <v>1</v>
      </c>
      <c r="CK1878">
        <v>22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"080068567794"</f>
        <v>080068567794</v>
      </c>
      <c r="F1879" s="3">
        <v>45946</v>
      </c>
      <c r="G1879">
        <v>202607</v>
      </c>
      <c r="H1879" t="s">
        <v>79</v>
      </c>
      <c r="I1879" t="s">
        <v>80</v>
      </c>
      <c r="J1879" t="s">
        <v>91</v>
      </c>
      <c r="K1879" t="s">
        <v>78</v>
      </c>
      <c r="L1879" t="s">
        <v>121</v>
      </c>
      <c r="M1879" t="s">
        <v>122</v>
      </c>
      <c r="N1879" t="s">
        <v>389</v>
      </c>
      <c r="O1879" t="s">
        <v>82</v>
      </c>
      <c r="P1879" t="str">
        <f>"4170064521                    "</f>
        <v xml:space="preserve">4170064521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55.86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2</v>
      </c>
      <c r="BI1879">
        <v>5</v>
      </c>
      <c r="BJ1879">
        <v>4.2</v>
      </c>
      <c r="BK1879">
        <v>5</v>
      </c>
      <c r="BL1879">
        <v>177.3</v>
      </c>
      <c r="BM1879">
        <v>26.6</v>
      </c>
      <c r="BN1879">
        <v>203.9</v>
      </c>
      <c r="BO1879">
        <v>203.9</v>
      </c>
      <c r="BQ1879" t="s">
        <v>390</v>
      </c>
      <c r="BR1879" t="s">
        <v>97</v>
      </c>
      <c r="BS1879" s="3">
        <v>45947</v>
      </c>
      <c r="BT1879" s="4">
        <v>0.45347222222222222</v>
      </c>
      <c r="BU1879" t="s">
        <v>2619</v>
      </c>
      <c r="BV1879" t="s">
        <v>90</v>
      </c>
      <c r="BY1879">
        <v>20852</v>
      </c>
      <c r="CA1879" t="s">
        <v>331</v>
      </c>
      <c r="CC1879" t="s">
        <v>122</v>
      </c>
      <c r="CD1879">
        <v>4052</v>
      </c>
      <c r="CE1879" t="s">
        <v>147</v>
      </c>
      <c r="CF1879" s="3">
        <v>45947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"080068543031"</f>
        <v>080068543031</v>
      </c>
      <c r="F1880" s="3">
        <v>45945</v>
      </c>
      <c r="G1880">
        <v>202607</v>
      </c>
      <c r="H1880" t="s">
        <v>79</v>
      </c>
      <c r="I1880" t="s">
        <v>80</v>
      </c>
      <c r="J1880" t="s">
        <v>91</v>
      </c>
      <c r="K1880" t="s">
        <v>78</v>
      </c>
      <c r="L1880" t="s">
        <v>763</v>
      </c>
      <c r="M1880" t="s">
        <v>764</v>
      </c>
      <c r="N1880" t="s">
        <v>765</v>
      </c>
      <c r="O1880" t="s">
        <v>95</v>
      </c>
      <c r="P1880" t="str">
        <f>"4170064458                    "</f>
        <v xml:space="preserve">4170064458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85.89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2</v>
      </c>
      <c r="BI1880">
        <v>23</v>
      </c>
      <c r="BJ1880">
        <v>16.600000000000001</v>
      </c>
      <c r="BK1880">
        <v>23</v>
      </c>
      <c r="BL1880">
        <v>278.47000000000003</v>
      </c>
      <c r="BM1880">
        <v>41.77</v>
      </c>
      <c r="BN1880">
        <v>320.24</v>
      </c>
      <c r="BO1880">
        <v>320.24</v>
      </c>
      <c r="BQ1880" t="s">
        <v>766</v>
      </c>
      <c r="BR1880" t="s">
        <v>97</v>
      </c>
      <c r="BS1880" s="3">
        <v>45946</v>
      </c>
      <c r="BT1880" s="4">
        <v>0.40902777777777777</v>
      </c>
      <c r="BU1880" t="s">
        <v>767</v>
      </c>
      <c r="BV1880" t="s">
        <v>86</v>
      </c>
      <c r="BY1880">
        <v>82763.520000000004</v>
      </c>
      <c r="BZ1880" t="s">
        <v>2096</v>
      </c>
      <c r="CA1880" t="s">
        <v>768</v>
      </c>
      <c r="CC1880" t="s">
        <v>764</v>
      </c>
      <c r="CD1880">
        <v>2531</v>
      </c>
      <c r="CE1880" t="s">
        <v>101</v>
      </c>
      <c r="CF1880" s="3">
        <v>45947</v>
      </c>
      <c r="CI1880">
        <v>1</v>
      </c>
      <c r="CJ1880">
        <v>1</v>
      </c>
      <c r="CK1880">
        <v>43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"080068581846"</f>
        <v>080068581846</v>
      </c>
      <c r="F1881" s="3">
        <v>45947</v>
      </c>
      <c r="G1881">
        <v>202607</v>
      </c>
      <c r="H1881" t="s">
        <v>79</v>
      </c>
      <c r="I1881" t="s">
        <v>80</v>
      </c>
      <c r="J1881" t="s">
        <v>91</v>
      </c>
      <c r="K1881" t="s">
        <v>78</v>
      </c>
      <c r="L1881" t="s">
        <v>453</v>
      </c>
      <c r="M1881" t="s">
        <v>454</v>
      </c>
      <c r="N1881" t="s">
        <v>639</v>
      </c>
      <c r="O1881" t="s">
        <v>82</v>
      </c>
      <c r="P1881" t="str">
        <f>"4170064774                    "</f>
        <v xml:space="preserve">4170064774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22.36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70.959999999999994</v>
      </c>
      <c r="BM1881">
        <v>10.64</v>
      </c>
      <c r="BN1881">
        <v>81.599999999999994</v>
      </c>
      <c r="BO1881">
        <v>81.599999999999994</v>
      </c>
      <c r="BQ1881" t="s">
        <v>640</v>
      </c>
      <c r="BR1881" t="s">
        <v>97</v>
      </c>
      <c r="BS1881" s="3">
        <v>45950</v>
      </c>
      <c r="BT1881" s="4">
        <v>0.60624999999999996</v>
      </c>
      <c r="BU1881" t="s">
        <v>2620</v>
      </c>
      <c r="BV1881" t="s">
        <v>90</v>
      </c>
      <c r="BW1881" t="s">
        <v>136</v>
      </c>
      <c r="BX1881" t="s">
        <v>137</v>
      </c>
      <c r="BY1881">
        <v>1200</v>
      </c>
      <c r="CA1881" t="s">
        <v>742</v>
      </c>
      <c r="CC1881" t="s">
        <v>454</v>
      </c>
      <c r="CD1881">
        <v>3610</v>
      </c>
      <c r="CE1881" t="s">
        <v>147</v>
      </c>
      <c r="CF1881" s="3">
        <v>45950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"R080068447278"</f>
        <v>R080068447278</v>
      </c>
      <c r="F1882" s="3">
        <v>45947</v>
      </c>
      <c r="G1882">
        <v>202607</v>
      </c>
      <c r="H1882" t="s">
        <v>306</v>
      </c>
      <c r="I1882" t="s">
        <v>307</v>
      </c>
      <c r="J1882" t="s">
        <v>308</v>
      </c>
      <c r="K1882" t="s">
        <v>78</v>
      </c>
      <c r="L1882" t="s">
        <v>306</v>
      </c>
      <c r="M1882" t="s">
        <v>307</v>
      </c>
      <c r="N1882" t="s">
        <v>2621</v>
      </c>
      <c r="O1882" t="s">
        <v>95</v>
      </c>
      <c r="P1882" t="str">
        <f>"4170063916                    "</f>
        <v xml:space="preserve">4170063916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33.36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111.75</v>
      </c>
      <c r="BM1882">
        <v>16.760000000000002</v>
      </c>
      <c r="BN1882">
        <v>128.51</v>
      </c>
      <c r="BO1882">
        <v>128.51</v>
      </c>
      <c r="BQ1882" t="s">
        <v>2622</v>
      </c>
      <c r="BR1882" t="s">
        <v>309</v>
      </c>
      <c r="BS1882" s="3">
        <v>45947</v>
      </c>
      <c r="BT1882" s="4">
        <v>0.5180555555555556</v>
      </c>
      <c r="BU1882" t="s">
        <v>2623</v>
      </c>
      <c r="BV1882" t="s">
        <v>86</v>
      </c>
      <c r="BY1882">
        <v>1200</v>
      </c>
      <c r="CC1882" t="s">
        <v>307</v>
      </c>
      <c r="CD1882">
        <v>4113</v>
      </c>
      <c r="CE1882" t="s">
        <v>147</v>
      </c>
      <c r="CF1882" s="3">
        <v>45950</v>
      </c>
      <c r="CI1882">
        <v>1</v>
      </c>
      <c r="CJ1882">
        <v>0</v>
      </c>
      <c r="CK1882">
        <v>42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"080068581764"</f>
        <v>080068581764</v>
      </c>
      <c r="F1883" s="3">
        <v>45947</v>
      </c>
      <c r="G1883">
        <v>202607</v>
      </c>
      <c r="H1883" t="s">
        <v>79</v>
      </c>
      <c r="I1883" t="s">
        <v>80</v>
      </c>
      <c r="J1883" t="s">
        <v>91</v>
      </c>
      <c r="K1883" t="s">
        <v>78</v>
      </c>
      <c r="L1883" t="s">
        <v>322</v>
      </c>
      <c r="M1883" t="s">
        <v>322</v>
      </c>
      <c r="N1883" t="s">
        <v>1267</v>
      </c>
      <c r="O1883" t="s">
        <v>82</v>
      </c>
      <c r="P1883" t="str">
        <f>"4170064767                    "</f>
        <v xml:space="preserve">4170064767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43.31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137.47</v>
      </c>
      <c r="BM1883">
        <v>20.62</v>
      </c>
      <c r="BN1883">
        <v>158.09</v>
      </c>
      <c r="BO1883">
        <v>158.09</v>
      </c>
      <c r="BQ1883" t="s">
        <v>1268</v>
      </c>
      <c r="BR1883" t="s">
        <v>97</v>
      </c>
      <c r="BS1883" s="3">
        <v>45950</v>
      </c>
      <c r="BT1883" s="4">
        <v>0.53888888888888886</v>
      </c>
      <c r="BU1883" t="s">
        <v>1269</v>
      </c>
      <c r="BV1883" t="s">
        <v>86</v>
      </c>
      <c r="BY1883">
        <v>1200</v>
      </c>
      <c r="CA1883" t="s">
        <v>326</v>
      </c>
      <c r="CC1883" t="s">
        <v>322</v>
      </c>
      <c r="CD1883">
        <v>7655</v>
      </c>
      <c r="CE1883" t="s">
        <v>147</v>
      </c>
      <c r="CF1883" s="3">
        <v>45951</v>
      </c>
      <c r="CI1883">
        <v>1</v>
      </c>
      <c r="CJ1883">
        <v>1</v>
      </c>
      <c r="CK1883">
        <v>23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"080068581794"</f>
        <v>080068581794</v>
      </c>
      <c r="F1884" s="3">
        <v>45947</v>
      </c>
      <c r="G1884">
        <v>202607</v>
      </c>
      <c r="H1884" t="s">
        <v>79</v>
      </c>
      <c r="I1884" t="s">
        <v>80</v>
      </c>
      <c r="J1884" t="s">
        <v>91</v>
      </c>
      <c r="K1884" t="s">
        <v>78</v>
      </c>
      <c r="L1884" t="s">
        <v>271</v>
      </c>
      <c r="M1884" t="s">
        <v>272</v>
      </c>
      <c r="N1884" t="s">
        <v>443</v>
      </c>
      <c r="O1884" t="s">
        <v>82</v>
      </c>
      <c r="P1884" t="str">
        <f>"4170064749                    "</f>
        <v xml:space="preserve">4170064749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17.46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55.42</v>
      </c>
      <c r="BM1884">
        <v>8.31</v>
      </c>
      <c r="BN1884">
        <v>63.73</v>
      </c>
      <c r="BO1884">
        <v>63.73</v>
      </c>
      <c r="BQ1884" t="s">
        <v>444</v>
      </c>
      <c r="BR1884" t="s">
        <v>97</v>
      </c>
      <c r="BS1884" s="3">
        <v>45951</v>
      </c>
      <c r="BT1884" s="4">
        <v>0.4375</v>
      </c>
      <c r="BU1884" t="s">
        <v>460</v>
      </c>
      <c r="BV1884" t="s">
        <v>90</v>
      </c>
      <c r="BW1884" t="s">
        <v>188</v>
      </c>
      <c r="BX1884" t="s">
        <v>1896</v>
      </c>
      <c r="BY1884">
        <v>1200</v>
      </c>
      <c r="CA1884" t="s">
        <v>661</v>
      </c>
      <c r="CC1884" t="s">
        <v>272</v>
      </c>
      <c r="CD1884">
        <v>1428</v>
      </c>
      <c r="CE1884" t="s">
        <v>147</v>
      </c>
      <c r="CF1884" s="3">
        <v>45952</v>
      </c>
      <c r="CI1884">
        <v>1</v>
      </c>
      <c r="CJ1884">
        <v>2</v>
      </c>
      <c r="CK1884">
        <v>22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"080068581825"</f>
        <v>080068581825</v>
      </c>
      <c r="F1885" s="3">
        <v>45947</v>
      </c>
      <c r="G1885">
        <v>202607</v>
      </c>
      <c r="H1885" t="s">
        <v>79</v>
      </c>
      <c r="I1885" t="s">
        <v>80</v>
      </c>
      <c r="J1885" t="s">
        <v>91</v>
      </c>
      <c r="K1885" t="s">
        <v>78</v>
      </c>
      <c r="L1885" t="s">
        <v>333</v>
      </c>
      <c r="M1885" t="s">
        <v>334</v>
      </c>
      <c r="N1885" t="s">
        <v>1388</v>
      </c>
      <c r="O1885" t="s">
        <v>82</v>
      </c>
      <c r="P1885" t="str">
        <f>"4170064781                    "</f>
        <v xml:space="preserve">4170064781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22.36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70.959999999999994</v>
      </c>
      <c r="BM1885">
        <v>10.64</v>
      </c>
      <c r="BN1885">
        <v>81.599999999999994</v>
      </c>
      <c r="BO1885">
        <v>81.599999999999994</v>
      </c>
      <c r="BQ1885" t="s">
        <v>1389</v>
      </c>
      <c r="BR1885" t="s">
        <v>97</v>
      </c>
      <c r="BS1885" s="3">
        <v>45950</v>
      </c>
      <c r="BT1885" s="4">
        <v>0.37777777777777777</v>
      </c>
      <c r="BU1885" t="s">
        <v>2624</v>
      </c>
      <c r="BV1885" t="s">
        <v>86</v>
      </c>
      <c r="BY1885">
        <v>1200</v>
      </c>
      <c r="CA1885" t="s">
        <v>142</v>
      </c>
      <c r="CC1885" t="s">
        <v>334</v>
      </c>
      <c r="CD1885">
        <v>6220</v>
      </c>
      <c r="CE1885" t="s">
        <v>147</v>
      </c>
      <c r="CF1885" s="3">
        <v>45950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"080068581876"</f>
        <v>080068581876</v>
      </c>
      <c r="F1886" s="3">
        <v>45947</v>
      </c>
      <c r="G1886">
        <v>202607</v>
      </c>
      <c r="H1886" t="s">
        <v>79</v>
      </c>
      <c r="I1886" t="s">
        <v>80</v>
      </c>
      <c r="J1886" t="s">
        <v>91</v>
      </c>
      <c r="K1886" t="s">
        <v>78</v>
      </c>
      <c r="L1886" t="s">
        <v>809</v>
      </c>
      <c r="M1886" t="s">
        <v>810</v>
      </c>
      <c r="N1886" t="s">
        <v>1762</v>
      </c>
      <c r="O1886" t="s">
        <v>95</v>
      </c>
      <c r="P1886" t="str">
        <f>"4170064698                    "</f>
        <v xml:space="preserve">4170064698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44.09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25</v>
      </c>
      <c r="BJ1886">
        <v>25.4</v>
      </c>
      <c r="BK1886">
        <v>26</v>
      </c>
      <c r="BL1886">
        <v>145.80000000000001</v>
      </c>
      <c r="BM1886">
        <v>21.87</v>
      </c>
      <c r="BN1886">
        <v>167.67</v>
      </c>
      <c r="BO1886">
        <v>167.67</v>
      </c>
      <c r="BQ1886" t="s">
        <v>1763</v>
      </c>
      <c r="BR1886" t="s">
        <v>97</v>
      </c>
      <c r="BS1886" s="3">
        <v>45950</v>
      </c>
      <c r="BT1886" s="4">
        <v>0.35138888888888886</v>
      </c>
      <c r="BU1886" t="s">
        <v>1430</v>
      </c>
      <c r="BV1886" t="s">
        <v>86</v>
      </c>
      <c r="BY1886">
        <v>127200</v>
      </c>
      <c r="CA1886" t="s">
        <v>1356</v>
      </c>
      <c r="CC1886" t="s">
        <v>810</v>
      </c>
      <c r="CD1886">
        <v>1709</v>
      </c>
      <c r="CE1886" t="s">
        <v>107</v>
      </c>
      <c r="CF1886" s="3">
        <v>45951</v>
      </c>
      <c r="CI1886">
        <v>1</v>
      </c>
      <c r="CJ1886">
        <v>1</v>
      </c>
      <c r="CK1886">
        <v>42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"080068581881"</f>
        <v>080068581881</v>
      </c>
      <c r="F1887" s="3">
        <v>45947</v>
      </c>
      <c r="G1887">
        <v>202607</v>
      </c>
      <c r="H1887" t="s">
        <v>79</v>
      </c>
      <c r="I1887" t="s">
        <v>80</v>
      </c>
      <c r="J1887" t="s">
        <v>91</v>
      </c>
      <c r="K1887" t="s">
        <v>78</v>
      </c>
      <c r="L1887" t="s">
        <v>763</v>
      </c>
      <c r="M1887" t="s">
        <v>764</v>
      </c>
      <c r="N1887" t="s">
        <v>765</v>
      </c>
      <c r="O1887" t="s">
        <v>82</v>
      </c>
      <c r="P1887" t="str">
        <f>"4170064677                    "</f>
        <v xml:space="preserve">4170064677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43.31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137.47</v>
      </c>
      <c r="BM1887">
        <v>20.62</v>
      </c>
      <c r="BN1887">
        <v>158.09</v>
      </c>
      <c r="BO1887">
        <v>158.09</v>
      </c>
      <c r="BQ1887" t="s">
        <v>766</v>
      </c>
      <c r="BR1887" t="s">
        <v>97</v>
      </c>
      <c r="BS1887" s="3">
        <v>45950</v>
      </c>
      <c r="BT1887" s="4">
        <v>0.3888888888888889</v>
      </c>
      <c r="BU1887" t="s">
        <v>2625</v>
      </c>
      <c r="BV1887" t="s">
        <v>86</v>
      </c>
      <c r="BY1887">
        <v>1200</v>
      </c>
      <c r="CA1887" t="s">
        <v>768</v>
      </c>
      <c r="CC1887" t="s">
        <v>764</v>
      </c>
      <c r="CD1887">
        <v>2531</v>
      </c>
      <c r="CE1887" t="s">
        <v>147</v>
      </c>
      <c r="CF1887" s="3">
        <v>45951</v>
      </c>
      <c r="CI1887">
        <v>1</v>
      </c>
      <c r="CJ1887">
        <v>1</v>
      </c>
      <c r="CK1887">
        <v>23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"080068581905"</f>
        <v>080068581905</v>
      </c>
      <c r="F1888" s="3">
        <v>45947</v>
      </c>
      <c r="G1888">
        <v>202607</v>
      </c>
      <c r="H1888" t="s">
        <v>79</v>
      </c>
      <c r="I1888" t="s">
        <v>80</v>
      </c>
      <c r="J1888" t="s">
        <v>91</v>
      </c>
      <c r="K1888" t="s">
        <v>78</v>
      </c>
      <c r="L1888" t="s">
        <v>306</v>
      </c>
      <c r="M1888" t="s">
        <v>307</v>
      </c>
      <c r="N1888" t="s">
        <v>335</v>
      </c>
      <c r="O1888" t="s">
        <v>82</v>
      </c>
      <c r="P1888" t="str">
        <f>"4170064791                    "</f>
        <v xml:space="preserve">4170064791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22.36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70.959999999999994</v>
      </c>
      <c r="BM1888">
        <v>10.64</v>
      </c>
      <c r="BN1888">
        <v>81.599999999999994</v>
      </c>
      <c r="BO1888">
        <v>81.599999999999994</v>
      </c>
      <c r="BQ1888" t="s">
        <v>475</v>
      </c>
      <c r="BR1888" t="s">
        <v>97</v>
      </c>
      <c r="BS1888" s="3">
        <v>45950</v>
      </c>
      <c r="BT1888" s="4">
        <v>0.64930555555555558</v>
      </c>
      <c r="BU1888" t="s">
        <v>1436</v>
      </c>
      <c r="BV1888" t="s">
        <v>90</v>
      </c>
      <c r="BW1888" t="s">
        <v>136</v>
      </c>
      <c r="BX1888" t="s">
        <v>137</v>
      </c>
      <c r="BY1888">
        <v>1200</v>
      </c>
      <c r="CA1888" t="s">
        <v>157</v>
      </c>
      <c r="CC1888" t="s">
        <v>307</v>
      </c>
      <c r="CD1888">
        <v>4133</v>
      </c>
      <c r="CE1888" t="s">
        <v>147</v>
      </c>
      <c r="CF1888" s="3">
        <v>45950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"080068581915"</f>
        <v>080068581915</v>
      </c>
      <c r="F1889" s="3">
        <v>45947</v>
      </c>
      <c r="G1889">
        <v>202607</v>
      </c>
      <c r="H1889" t="s">
        <v>79</v>
      </c>
      <c r="I1889" t="s">
        <v>80</v>
      </c>
      <c r="J1889" t="s">
        <v>91</v>
      </c>
      <c r="K1889" t="s">
        <v>78</v>
      </c>
      <c r="L1889" t="s">
        <v>121</v>
      </c>
      <c r="M1889" t="s">
        <v>122</v>
      </c>
      <c r="N1889" t="s">
        <v>1557</v>
      </c>
      <c r="O1889" t="s">
        <v>82</v>
      </c>
      <c r="P1889" t="str">
        <f>"4170064703                    "</f>
        <v xml:space="preserve">4170064703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22.36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2</v>
      </c>
      <c r="BJ1889">
        <v>1.1000000000000001</v>
      </c>
      <c r="BK1889">
        <v>2</v>
      </c>
      <c r="BL1889">
        <v>70.959999999999994</v>
      </c>
      <c r="BM1889">
        <v>10.64</v>
      </c>
      <c r="BN1889">
        <v>81.599999999999994</v>
      </c>
      <c r="BO1889">
        <v>81.599999999999994</v>
      </c>
      <c r="BQ1889" t="s">
        <v>1558</v>
      </c>
      <c r="BR1889" t="s">
        <v>97</v>
      </c>
      <c r="BS1889" s="3">
        <v>45950</v>
      </c>
      <c r="BT1889" s="4">
        <v>0.43055555555555558</v>
      </c>
      <c r="BU1889" t="s">
        <v>2214</v>
      </c>
      <c r="BV1889" t="s">
        <v>86</v>
      </c>
      <c r="BY1889">
        <v>5510</v>
      </c>
      <c r="CA1889" t="s">
        <v>651</v>
      </c>
      <c r="CC1889" t="s">
        <v>122</v>
      </c>
      <c r="CD1889">
        <v>4001</v>
      </c>
      <c r="CE1889" t="s">
        <v>191</v>
      </c>
      <c r="CF1889" s="3">
        <v>45950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"080068581984"</f>
        <v>080068581984</v>
      </c>
      <c r="F1890" s="3">
        <v>45947</v>
      </c>
      <c r="G1890">
        <v>202607</v>
      </c>
      <c r="H1890" t="s">
        <v>79</v>
      </c>
      <c r="I1890" t="s">
        <v>80</v>
      </c>
      <c r="J1890" t="s">
        <v>91</v>
      </c>
      <c r="K1890" t="s">
        <v>78</v>
      </c>
      <c r="L1890" t="s">
        <v>148</v>
      </c>
      <c r="M1890" t="s">
        <v>149</v>
      </c>
      <c r="N1890" t="s">
        <v>819</v>
      </c>
      <c r="O1890" t="s">
        <v>226</v>
      </c>
      <c r="P1890" t="str">
        <f>"4170064622                    "</f>
        <v xml:space="preserve">4170064622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25.3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12</v>
      </c>
      <c r="BJ1890">
        <v>8.9</v>
      </c>
      <c r="BK1890">
        <v>12</v>
      </c>
      <c r="BL1890">
        <v>80.31</v>
      </c>
      <c r="BM1890">
        <v>12.05</v>
      </c>
      <c r="BN1890">
        <v>92.36</v>
      </c>
      <c r="BO1890">
        <v>92.36</v>
      </c>
      <c r="BQ1890" t="s">
        <v>820</v>
      </c>
      <c r="BR1890" t="s">
        <v>97</v>
      </c>
      <c r="BS1890" s="3">
        <v>45951</v>
      </c>
      <c r="BT1890" s="4">
        <v>0.4375</v>
      </c>
      <c r="BU1890" t="s">
        <v>2626</v>
      </c>
      <c r="BV1890" t="s">
        <v>90</v>
      </c>
      <c r="BW1890" t="s">
        <v>188</v>
      </c>
      <c r="BX1890" t="s">
        <v>1471</v>
      </c>
      <c r="BY1890">
        <v>44640</v>
      </c>
      <c r="CC1890" t="s">
        <v>149</v>
      </c>
      <c r="CD1890">
        <v>2197</v>
      </c>
      <c r="CE1890" t="s">
        <v>191</v>
      </c>
      <c r="CF1890" s="3">
        <v>45952</v>
      </c>
      <c r="CI1890">
        <v>1</v>
      </c>
      <c r="CJ1890">
        <v>2</v>
      </c>
      <c r="CK1890">
        <v>32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"080068582069"</f>
        <v>080068582069</v>
      </c>
      <c r="F1891" s="3">
        <v>45947</v>
      </c>
      <c r="G1891">
        <v>202607</v>
      </c>
      <c r="H1891" t="s">
        <v>79</v>
      </c>
      <c r="I1891" t="s">
        <v>80</v>
      </c>
      <c r="J1891" t="s">
        <v>91</v>
      </c>
      <c r="K1891" t="s">
        <v>78</v>
      </c>
      <c r="L1891" t="s">
        <v>453</v>
      </c>
      <c r="M1891" t="s">
        <v>454</v>
      </c>
      <c r="N1891" t="s">
        <v>2432</v>
      </c>
      <c r="O1891" t="s">
        <v>82</v>
      </c>
      <c r="P1891" t="str">
        <f>"4170064607                    "</f>
        <v xml:space="preserve">4170064607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22.36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1.8</v>
      </c>
      <c r="BK1891">
        <v>2</v>
      </c>
      <c r="BL1891">
        <v>70.959999999999994</v>
      </c>
      <c r="BM1891">
        <v>10.64</v>
      </c>
      <c r="BN1891">
        <v>81.599999999999994</v>
      </c>
      <c r="BO1891">
        <v>81.599999999999994</v>
      </c>
      <c r="BQ1891" t="s">
        <v>2433</v>
      </c>
      <c r="BR1891" t="s">
        <v>97</v>
      </c>
      <c r="BS1891" s="3">
        <v>45950</v>
      </c>
      <c r="BT1891" s="4">
        <v>0.40763888888888888</v>
      </c>
      <c r="BU1891" t="s">
        <v>2627</v>
      </c>
      <c r="BV1891" t="s">
        <v>86</v>
      </c>
      <c r="BY1891">
        <v>8816</v>
      </c>
      <c r="CA1891" t="s">
        <v>742</v>
      </c>
      <c r="CC1891" t="s">
        <v>454</v>
      </c>
      <c r="CD1891">
        <v>3600</v>
      </c>
      <c r="CE1891" t="s">
        <v>191</v>
      </c>
      <c r="CF1891" s="3">
        <v>45950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"080068582133"</f>
        <v>080068582133</v>
      </c>
      <c r="F1892" s="3">
        <v>45947</v>
      </c>
      <c r="G1892">
        <v>202607</v>
      </c>
      <c r="H1892" t="s">
        <v>79</v>
      </c>
      <c r="I1892" t="s">
        <v>80</v>
      </c>
      <c r="J1892" t="s">
        <v>91</v>
      </c>
      <c r="K1892" t="s">
        <v>78</v>
      </c>
      <c r="L1892" t="s">
        <v>114</v>
      </c>
      <c r="M1892" t="s">
        <v>115</v>
      </c>
      <c r="N1892" t="s">
        <v>881</v>
      </c>
      <c r="O1892" t="s">
        <v>82</v>
      </c>
      <c r="P1892" t="str">
        <f>"4170064692                    "</f>
        <v xml:space="preserve">4170064692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78.2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7</v>
      </c>
      <c r="BJ1892">
        <v>3.4</v>
      </c>
      <c r="BK1892">
        <v>7</v>
      </c>
      <c r="BL1892">
        <v>248.2</v>
      </c>
      <c r="BM1892">
        <v>37.229999999999997</v>
      </c>
      <c r="BN1892">
        <v>285.43</v>
      </c>
      <c r="BO1892">
        <v>285.43</v>
      </c>
      <c r="BQ1892" t="s">
        <v>882</v>
      </c>
      <c r="BR1892" t="s">
        <v>97</v>
      </c>
      <c r="BS1892" s="3">
        <v>45950</v>
      </c>
      <c r="BT1892" s="4">
        <v>0.44513888888888886</v>
      </c>
      <c r="BU1892" t="s">
        <v>883</v>
      </c>
      <c r="BV1892" t="s">
        <v>90</v>
      </c>
      <c r="BY1892">
        <v>16965</v>
      </c>
      <c r="CA1892" t="s">
        <v>749</v>
      </c>
      <c r="CC1892" t="s">
        <v>115</v>
      </c>
      <c r="CD1892">
        <v>5201</v>
      </c>
      <c r="CE1892" t="s">
        <v>191</v>
      </c>
      <c r="CF1892" s="3">
        <v>45951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"080068582347"</f>
        <v>080068582347</v>
      </c>
      <c r="F1893" s="3">
        <v>45947</v>
      </c>
      <c r="G1893">
        <v>202607</v>
      </c>
      <c r="H1893" t="s">
        <v>79</v>
      </c>
      <c r="I1893" t="s">
        <v>80</v>
      </c>
      <c r="J1893" t="s">
        <v>91</v>
      </c>
      <c r="K1893" t="s">
        <v>78</v>
      </c>
      <c r="L1893" t="s">
        <v>1246</v>
      </c>
      <c r="M1893" t="s">
        <v>1247</v>
      </c>
      <c r="N1893" t="s">
        <v>1248</v>
      </c>
      <c r="O1893" t="s">
        <v>82</v>
      </c>
      <c r="P1893" t="str">
        <f>"4170064771                    "</f>
        <v xml:space="preserve">4170064771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31.44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1.8</v>
      </c>
      <c r="BK1893">
        <v>2</v>
      </c>
      <c r="BL1893">
        <v>99.79</v>
      </c>
      <c r="BM1893">
        <v>14.97</v>
      </c>
      <c r="BN1893">
        <v>114.76</v>
      </c>
      <c r="BO1893">
        <v>114.76</v>
      </c>
      <c r="BQ1893" t="s">
        <v>1249</v>
      </c>
      <c r="BR1893" t="s">
        <v>97</v>
      </c>
      <c r="BS1893" s="3">
        <v>45950</v>
      </c>
      <c r="BT1893" s="4">
        <v>0.30208333333333331</v>
      </c>
      <c r="BU1893" t="s">
        <v>2628</v>
      </c>
      <c r="BV1893" t="s">
        <v>86</v>
      </c>
      <c r="BY1893">
        <v>9120</v>
      </c>
      <c r="CA1893" t="s">
        <v>1251</v>
      </c>
      <c r="CC1893" t="s">
        <v>1247</v>
      </c>
      <c r="CD1893">
        <v>2210</v>
      </c>
      <c r="CE1893" t="s">
        <v>191</v>
      </c>
      <c r="CF1893" s="3">
        <v>45951</v>
      </c>
      <c r="CI1893">
        <v>1</v>
      </c>
      <c r="CJ1893">
        <v>1</v>
      </c>
      <c r="CK1893">
        <v>24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"080068582366"</f>
        <v>080068582366</v>
      </c>
      <c r="F1894" s="3">
        <v>45947</v>
      </c>
      <c r="G1894">
        <v>202607</v>
      </c>
      <c r="H1894" t="s">
        <v>79</v>
      </c>
      <c r="I1894" t="s">
        <v>80</v>
      </c>
      <c r="J1894" t="s">
        <v>91</v>
      </c>
      <c r="K1894" t="s">
        <v>78</v>
      </c>
      <c r="L1894" t="s">
        <v>108</v>
      </c>
      <c r="M1894" t="s">
        <v>109</v>
      </c>
      <c r="N1894" t="s">
        <v>2559</v>
      </c>
      <c r="O1894" t="s">
        <v>82</v>
      </c>
      <c r="P1894" t="str">
        <f>"4170064751                    "</f>
        <v xml:space="preserve">4170064751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22.36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70.959999999999994</v>
      </c>
      <c r="BM1894">
        <v>10.64</v>
      </c>
      <c r="BN1894">
        <v>81.599999999999994</v>
      </c>
      <c r="BO1894">
        <v>81.599999999999994</v>
      </c>
      <c r="BQ1894" t="s">
        <v>2560</v>
      </c>
      <c r="BR1894" t="s">
        <v>97</v>
      </c>
      <c r="BS1894" s="3">
        <v>45950</v>
      </c>
      <c r="BT1894" s="4">
        <v>0.34027777777777779</v>
      </c>
      <c r="BU1894" t="s">
        <v>2629</v>
      </c>
      <c r="BV1894" t="s">
        <v>86</v>
      </c>
      <c r="BY1894">
        <v>1200</v>
      </c>
      <c r="CA1894" t="s">
        <v>2562</v>
      </c>
      <c r="CC1894" t="s">
        <v>109</v>
      </c>
      <c r="CD1894">
        <v>6001</v>
      </c>
      <c r="CE1894" t="s">
        <v>147</v>
      </c>
      <c r="CF1894" s="3">
        <v>45950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"080068582411"</f>
        <v>080068582411</v>
      </c>
      <c r="F1895" s="3">
        <v>45947</v>
      </c>
      <c r="G1895">
        <v>202607</v>
      </c>
      <c r="H1895" t="s">
        <v>79</v>
      </c>
      <c r="I1895" t="s">
        <v>80</v>
      </c>
      <c r="J1895" t="s">
        <v>91</v>
      </c>
      <c r="K1895" t="s">
        <v>78</v>
      </c>
      <c r="L1895" t="s">
        <v>322</v>
      </c>
      <c r="M1895" t="s">
        <v>322</v>
      </c>
      <c r="N1895" t="s">
        <v>376</v>
      </c>
      <c r="O1895" t="s">
        <v>82</v>
      </c>
      <c r="P1895" t="str">
        <f>"4170064795                    "</f>
        <v xml:space="preserve">4170064795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43.31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137.47</v>
      </c>
      <c r="BM1895">
        <v>20.62</v>
      </c>
      <c r="BN1895">
        <v>158.09</v>
      </c>
      <c r="BO1895">
        <v>158.09</v>
      </c>
      <c r="BQ1895" t="s">
        <v>377</v>
      </c>
      <c r="BR1895" t="s">
        <v>97</v>
      </c>
      <c r="BS1895" s="3">
        <v>45950</v>
      </c>
      <c r="BT1895" s="4">
        <v>0.53472222222222221</v>
      </c>
      <c r="BU1895" t="s">
        <v>1402</v>
      </c>
      <c r="BV1895" t="s">
        <v>86</v>
      </c>
      <c r="BY1895">
        <v>1200</v>
      </c>
      <c r="CA1895" t="s">
        <v>326</v>
      </c>
      <c r="CC1895" t="s">
        <v>322</v>
      </c>
      <c r="CD1895">
        <v>7646</v>
      </c>
      <c r="CE1895" t="s">
        <v>147</v>
      </c>
      <c r="CF1895" s="3">
        <v>45951</v>
      </c>
      <c r="CI1895">
        <v>1</v>
      </c>
      <c r="CJ1895">
        <v>1</v>
      </c>
      <c r="CK1895">
        <v>23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"080068582421"</f>
        <v>080068582421</v>
      </c>
      <c r="F1896" s="3">
        <v>45947</v>
      </c>
      <c r="G1896">
        <v>202607</v>
      </c>
      <c r="H1896" t="s">
        <v>79</v>
      </c>
      <c r="I1896" t="s">
        <v>80</v>
      </c>
      <c r="J1896" t="s">
        <v>91</v>
      </c>
      <c r="K1896" t="s">
        <v>78</v>
      </c>
      <c r="L1896" t="s">
        <v>92</v>
      </c>
      <c r="M1896" t="s">
        <v>93</v>
      </c>
      <c r="N1896" t="s">
        <v>597</v>
      </c>
      <c r="O1896" t="s">
        <v>82</v>
      </c>
      <c r="P1896" t="str">
        <f>"4170064742                    "</f>
        <v xml:space="preserve">4170064742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22.36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2</v>
      </c>
      <c r="BJ1896">
        <v>0.9</v>
      </c>
      <c r="BK1896">
        <v>2</v>
      </c>
      <c r="BL1896">
        <v>70.959999999999994</v>
      </c>
      <c r="BM1896">
        <v>10.64</v>
      </c>
      <c r="BN1896">
        <v>81.599999999999994</v>
      </c>
      <c r="BO1896">
        <v>81.599999999999994</v>
      </c>
      <c r="BQ1896" t="s">
        <v>598</v>
      </c>
      <c r="BR1896" t="s">
        <v>97</v>
      </c>
      <c r="BS1896" s="3">
        <v>45950</v>
      </c>
      <c r="BT1896" s="4">
        <v>0.46875</v>
      </c>
      <c r="BU1896" t="s">
        <v>1065</v>
      </c>
      <c r="BV1896" t="s">
        <v>86</v>
      </c>
      <c r="BY1896">
        <v>4275</v>
      </c>
      <c r="CA1896" t="s">
        <v>600</v>
      </c>
      <c r="CC1896" t="s">
        <v>93</v>
      </c>
      <c r="CD1896">
        <v>3201</v>
      </c>
      <c r="CE1896" t="s">
        <v>191</v>
      </c>
      <c r="CF1896" s="3">
        <v>45950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"080068582439"</f>
        <v>080068582439</v>
      </c>
      <c r="F1897" s="3">
        <v>45947</v>
      </c>
      <c r="G1897">
        <v>202607</v>
      </c>
      <c r="H1897" t="s">
        <v>79</v>
      </c>
      <c r="I1897" t="s">
        <v>80</v>
      </c>
      <c r="J1897" t="s">
        <v>91</v>
      </c>
      <c r="K1897" t="s">
        <v>78</v>
      </c>
      <c r="L1897" t="s">
        <v>206</v>
      </c>
      <c r="M1897" t="s">
        <v>207</v>
      </c>
      <c r="N1897" t="s">
        <v>656</v>
      </c>
      <c r="O1897" t="s">
        <v>82</v>
      </c>
      <c r="P1897" t="str">
        <f>"4170064740                    "</f>
        <v xml:space="preserve">4170064740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22.36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70.959999999999994</v>
      </c>
      <c r="BM1897">
        <v>10.64</v>
      </c>
      <c r="BN1897">
        <v>81.599999999999994</v>
      </c>
      <c r="BO1897">
        <v>81.599999999999994</v>
      </c>
      <c r="BQ1897" t="s">
        <v>657</v>
      </c>
      <c r="BR1897" t="s">
        <v>97</v>
      </c>
      <c r="BS1897" s="3">
        <v>45950</v>
      </c>
      <c r="BT1897" s="4">
        <v>0.38680555555555557</v>
      </c>
      <c r="BU1897" t="s">
        <v>1442</v>
      </c>
      <c r="BV1897" t="s">
        <v>86</v>
      </c>
      <c r="BY1897">
        <v>1200</v>
      </c>
      <c r="CA1897" t="s">
        <v>770</v>
      </c>
      <c r="CC1897" t="s">
        <v>207</v>
      </c>
      <c r="CD1897">
        <v>7441</v>
      </c>
      <c r="CE1897" t="s">
        <v>147</v>
      </c>
      <c r="CF1897" s="3">
        <v>45951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"080068582476"</f>
        <v>080068582476</v>
      </c>
      <c r="F1898" s="3">
        <v>45947</v>
      </c>
      <c r="G1898">
        <v>202607</v>
      </c>
      <c r="H1898" t="s">
        <v>79</v>
      </c>
      <c r="I1898" t="s">
        <v>80</v>
      </c>
      <c r="J1898" t="s">
        <v>91</v>
      </c>
      <c r="K1898" t="s">
        <v>78</v>
      </c>
      <c r="L1898" t="s">
        <v>223</v>
      </c>
      <c r="M1898" t="s">
        <v>224</v>
      </c>
      <c r="N1898" t="s">
        <v>505</v>
      </c>
      <c r="O1898" t="s">
        <v>82</v>
      </c>
      <c r="P1898" t="str">
        <f>"4170064683                    "</f>
        <v xml:space="preserve">4170064683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17.46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1.1000000000000001</v>
      </c>
      <c r="BK1898">
        <v>2</v>
      </c>
      <c r="BL1898">
        <v>55.42</v>
      </c>
      <c r="BM1898">
        <v>8.31</v>
      </c>
      <c r="BN1898">
        <v>63.73</v>
      </c>
      <c r="BO1898">
        <v>63.73</v>
      </c>
      <c r="BQ1898" t="s">
        <v>506</v>
      </c>
      <c r="BR1898" t="s">
        <v>97</v>
      </c>
      <c r="BS1898" s="3">
        <v>45950</v>
      </c>
      <c r="BT1898" s="4">
        <v>0.3</v>
      </c>
      <c r="BU1898" t="s">
        <v>507</v>
      </c>
      <c r="BV1898" t="s">
        <v>86</v>
      </c>
      <c r="BY1898">
        <v>5510</v>
      </c>
      <c r="CA1898" t="s">
        <v>508</v>
      </c>
      <c r="CC1898" t="s">
        <v>224</v>
      </c>
      <c r="CD1898">
        <v>1459</v>
      </c>
      <c r="CE1898" t="s">
        <v>191</v>
      </c>
      <c r="CF1898" s="3">
        <v>45950</v>
      </c>
      <c r="CI1898">
        <v>1</v>
      </c>
      <c r="CJ1898">
        <v>1</v>
      </c>
      <c r="CK1898">
        <v>22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"080068582489"</f>
        <v>080068582489</v>
      </c>
      <c r="F1899" s="3">
        <v>45947</v>
      </c>
      <c r="G1899">
        <v>202607</v>
      </c>
      <c r="H1899" t="s">
        <v>79</v>
      </c>
      <c r="I1899" t="s">
        <v>80</v>
      </c>
      <c r="J1899" t="s">
        <v>91</v>
      </c>
      <c r="K1899" t="s">
        <v>78</v>
      </c>
      <c r="L1899" t="s">
        <v>206</v>
      </c>
      <c r="M1899" t="s">
        <v>207</v>
      </c>
      <c r="N1899" t="s">
        <v>656</v>
      </c>
      <c r="O1899" t="s">
        <v>82</v>
      </c>
      <c r="P1899" t="str">
        <f>"4170064739                    "</f>
        <v xml:space="preserve">4170064739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22.36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70.959999999999994</v>
      </c>
      <c r="BM1899">
        <v>10.64</v>
      </c>
      <c r="BN1899">
        <v>81.599999999999994</v>
      </c>
      <c r="BO1899">
        <v>81.599999999999994</v>
      </c>
      <c r="BQ1899" t="s">
        <v>657</v>
      </c>
      <c r="BR1899" t="s">
        <v>97</v>
      </c>
      <c r="BS1899" s="3">
        <v>45950</v>
      </c>
      <c r="BT1899" s="4">
        <v>0.38680555555555557</v>
      </c>
      <c r="BU1899" t="s">
        <v>1442</v>
      </c>
      <c r="BV1899" t="s">
        <v>86</v>
      </c>
      <c r="BY1899">
        <v>1200</v>
      </c>
      <c r="CA1899" t="s">
        <v>770</v>
      </c>
      <c r="CC1899" t="s">
        <v>207</v>
      </c>
      <c r="CD1899">
        <v>7441</v>
      </c>
      <c r="CE1899" t="s">
        <v>147</v>
      </c>
      <c r="CF1899" s="3">
        <v>45951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"080068582511"</f>
        <v>080068582511</v>
      </c>
      <c r="F1900" s="3">
        <v>45947</v>
      </c>
      <c r="G1900">
        <v>202607</v>
      </c>
      <c r="H1900" t="s">
        <v>79</v>
      </c>
      <c r="I1900" t="s">
        <v>80</v>
      </c>
      <c r="J1900" t="s">
        <v>91</v>
      </c>
      <c r="K1900" t="s">
        <v>78</v>
      </c>
      <c r="L1900" t="s">
        <v>446</v>
      </c>
      <c r="M1900" t="s">
        <v>447</v>
      </c>
      <c r="N1900" t="s">
        <v>448</v>
      </c>
      <c r="O1900" t="s">
        <v>82</v>
      </c>
      <c r="P1900" t="str">
        <f>"4170064710                    "</f>
        <v xml:space="preserve">4170064710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82.43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4</v>
      </c>
      <c r="BJ1900">
        <v>1.9</v>
      </c>
      <c r="BK1900">
        <v>4</v>
      </c>
      <c r="BL1900">
        <v>261.63</v>
      </c>
      <c r="BM1900">
        <v>39.24</v>
      </c>
      <c r="BN1900">
        <v>300.87</v>
      </c>
      <c r="BO1900">
        <v>300.87</v>
      </c>
      <c r="BQ1900" t="s">
        <v>449</v>
      </c>
      <c r="BR1900" t="s">
        <v>97</v>
      </c>
      <c r="BS1900" s="3">
        <v>45950</v>
      </c>
      <c r="BT1900" s="4">
        <v>0.44583333333333336</v>
      </c>
      <c r="BU1900" t="s">
        <v>782</v>
      </c>
      <c r="BV1900" t="s">
        <v>86</v>
      </c>
      <c r="BY1900">
        <v>9600</v>
      </c>
      <c r="CA1900" t="s">
        <v>2085</v>
      </c>
      <c r="CC1900" t="s">
        <v>447</v>
      </c>
      <c r="CD1900">
        <v>7130</v>
      </c>
      <c r="CE1900" t="s">
        <v>191</v>
      </c>
      <c r="CF1900" s="3">
        <v>45951</v>
      </c>
      <c r="CI1900">
        <v>1</v>
      </c>
      <c r="CJ1900">
        <v>1</v>
      </c>
      <c r="CK1900">
        <v>23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"080068582535"</f>
        <v>080068582535</v>
      </c>
      <c r="F1901" s="3">
        <v>45947</v>
      </c>
      <c r="G1901">
        <v>202607</v>
      </c>
      <c r="H1901" t="s">
        <v>79</v>
      </c>
      <c r="I1901" t="s">
        <v>80</v>
      </c>
      <c r="J1901" t="s">
        <v>91</v>
      </c>
      <c r="K1901" t="s">
        <v>78</v>
      </c>
      <c r="L1901" t="s">
        <v>92</v>
      </c>
      <c r="M1901" t="s">
        <v>93</v>
      </c>
      <c r="N1901" t="s">
        <v>552</v>
      </c>
      <c r="O1901" t="s">
        <v>82</v>
      </c>
      <c r="P1901" t="str">
        <f>"4170064685                    "</f>
        <v xml:space="preserve">4170064685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22.36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70.959999999999994</v>
      </c>
      <c r="BM1901">
        <v>10.64</v>
      </c>
      <c r="BN1901">
        <v>81.599999999999994</v>
      </c>
      <c r="BO1901">
        <v>81.599999999999994</v>
      </c>
      <c r="BQ1901" t="s">
        <v>553</v>
      </c>
      <c r="BR1901" t="s">
        <v>97</v>
      </c>
      <c r="BS1901" s="3">
        <v>45950</v>
      </c>
      <c r="BT1901" s="4">
        <v>0.40694444444444444</v>
      </c>
      <c r="BU1901" t="s">
        <v>1140</v>
      </c>
      <c r="BV1901" t="s">
        <v>86</v>
      </c>
      <c r="BY1901">
        <v>1200</v>
      </c>
      <c r="CA1901" t="s">
        <v>1141</v>
      </c>
      <c r="CC1901" t="s">
        <v>93</v>
      </c>
      <c r="CD1901">
        <v>3201</v>
      </c>
      <c r="CE1901" t="s">
        <v>147</v>
      </c>
      <c r="CF1901" s="3">
        <v>45950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"080068582570"</f>
        <v>080068582570</v>
      </c>
      <c r="F1902" s="3">
        <v>45947</v>
      </c>
      <c r="G1902">
        <v>202607</v>
      </c>
      <c r="H1902" t="s">
        <v>79</v>
      </c>
      <c r="I1902" t="s">
        <v>80</v>
      </c>
      <c r="J1902" t="s">
        <v>91</v>
      </c>
      <c r="K1902" t="s">
        <v>78</v>
      </c>
      <c r="L1902" t="s">
        <v>2325</v>
      </c>
      <c r="M1902" t="s">
        <v>2326</v>
      </c>
      <c r="N1902" t="s">
        <v>2392</v>
      </c>
      <c r="O1902" t="s">
        <v>82</v>
      </c>
      <c r="P1902" t="str">
        <f>"4170064737                    "</f>
        <v xml:space="preserve">4170064737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43.31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137.47</v>
      </c>
      <c r="BM1902">
        <v>20.62</v>
      </c>
      <c r="BN1902">
        <v>158.09</v>
      </c>
      <c r="BO1902">
        <v>158.09</v>
      </c>
      <c r="BQ1902" t="s">
        <v>2328</v>
      </c>
      <c r="BR1902" t="s">
        <v>97</v>
      </c>
      <c r="BS1902" s="3">
        <v>45950</v>
      </c>
      <c r="BT1902" s="4">
        <v>0.45833333333333331</v>
      </c>
      <c r="BU1902" t="s">
        <v>2630</v>
      </c>
      <c r="BV1902" t="s">
        <v>86</v>
      </c>
      <c r="BY1902">
        <v>1200</v>
      </c>
      <c r="CA1902" t="s">
        <v>2631</v>
      </c>
      <c r="CC1902" t="s">
        <v>2326</v>
      </c>
      <c r="CD1902">
        <v>4449</v>
      </c>
      <c r="CE1902" t="s">
        <v>147</v>
      </c>
      <c r="CF1902" s="3">
        <v>45950</v>
      </c>
      <c r="CI1902">
        <v>1</v>
      </c>
      <c r="CJ1902">
        <v>1</v>
      </c>
      <c r="CK1902">
        <v>23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"080068582618"</f>
        <v>080068582618</v>
      </c>
      <c r="F1903" s="3">
        <v>45947</v>
      </c>
      <c r="G1903">
        <v>202607</v>
      </c>
      <c r="H1903" t="s">
        <v>79</v>
      </c>
      <c r="I1903" t="s">
        <v>80</v>
      </c>
      <c r="J1903" t="s">
        <v>91</v>
      </c>
      <c r="K1903" t="s">
        <v>78</v>
      </c>
      <c r="L1903" t="s">
        <v>206</v>
      </c>
      <c r="M1903" t="s">
        <v>207</v>
      </c>
      <c r="N1903" t="s">
        <v>2632</v>
      </c>
      <c r="O1903" t="s">
        <v>82</v>
      </c>
      <c r="P1903" t="str">
        <f>"4170064633                    "</f>
        <v xml:space="preserve">4170064633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22.36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70.959999999999994</v>
      </c>
      <c r="BM1903">
        <v>10.64</v>
      </c>
      <c r="BN1903">
        <v>81.599999999999994</v>
      </c>
      <c r="BO1903">
        <v>81.599999999999994</v>
      </c>
      <c r="BQ1903" t="s">
        <v>2633</v>
      </c>
      <c r="BR1903" t="s">
        <v>97</v>
      </c>
      <c r="BS1903" s="3">
        <v>45950</v>
      </c>
      <c r="BT1903" s="4">
        <v>0.4375</v>
      </c>
      <c r="BU1903" t="s">
        <v>2634</v>
      </c>
      <c r="BV1903" t="s">
        <v>86</v>
      </c>
      <c r="BY1903">
        <v>1200</v>
      </c>
      <c r="CA1903" t="s">
        <v>480</v>
      </c>
      <c r="CC1903" t="s">
        <v>207</v>
      </c>
      <c r="CD1903">
        <v>7460</v>
      </c>
      <c r="CE1903" t="s">
        <v>147</v>
      </c>
      <c r="CF1903" s="3">
        <v>45951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"080068582662"</f>
        <v>080068582662</v>
      </c>
      <c r="F1904" s="3">
        <v>45947</v>
      </c>
      <c r="G1904">
        <v>202607</v>
      </c>
      <c r="H1904" t="s">
        <v>79</v>
      </c>
      <c r="I1904" t="s">
        <v>80</v>
      </c>
      <c r="J1904" t="s">
        <v>91</v>
      </c>
      <c r="K1904" t="s">
        <v>78</v>
      </c>
      <c r="L1904" t="s">
        <v>218</v>
      </c>
      <c r="M1904" t="s">
        <v>219</v>
      </c>
      <c r="N1904" t="s">
        <v>520</v>
      </c>
      <c r="O1904" t="s">
        <v>82</v>
      </c>
      <c r="P1904" t="str">
        <f>"4170064770                    "</f>
        <v xml:space="preserve">4170064770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17.46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55.42</v>
      </c>
      <c r="BM1904">
        <v>8.31</v>
      </c>
      <c r="BN1904">
        <v>63.73</v>
      </c>
      <c r="BO1904">
        <v>63.73</v>
      </c>
      <c r="BQ1904" t="s">
        <v>521</v>
      </c>
      <c r="BR1904" t="s">
        <v>97</v>
      </c>
      <c r="BS1904" s="3">
        <v>45950</v>
      </c>
      <c r="BT1904" s="4">
        <v>0.4152777777777778</v>
      </c>
      <c r="BU1904" t="s">
        <v>862</v>
      </c>
      <c r="BV1904" t="s">
        <v>86</v>
      </c>
      <c r="BY1904">
        <v>1200</v>
      </c>
      <c r="CA1904" t="s">
        <v>1434</v>
      </c>
      <c r="CC1904" t="s">
        <v>219</v>
      </c>
      <c r="CD1904">
        <v>1559</v>
      </c>
      <c r="CE1904" t="s">
        <v>147</v>
      </c>
      <c r="CF1904" s="3">
        <v>45950</v>
      </c>
      <c r="CI1904">
        <v>1</v>
      </c>
      <c r="CJ1904">
        <v>1</v>
      </c>
      <c r="CK1904">
        <v>22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"080068582779"</f>
        <v>080068582779</v>
      </c>
      <c r="F1905" s="3">
        <v>45947</v>
      </c>
      <c r="G1905">
        <v>202607</v>
      </c>
      <c r="H1905" t="s">
        <v>79</v>
      </c>
      <c r="I1905" t="s">
        <v>80</v>
      </c>
      <c r="J1905" t="s">
        <v>91</v>
      </c>
      <c r="K1905" t="s">
        <v>78</v>
      </c>
      <c r="L1905" t="s">
        <v>121</v>
      </c>
      <c r="M1905" t="s">
        <v>122</v>
      </c>
      <c r="N1905" t="s">
        <v>159</v>
      </c>
      <c r="O1905" t="s">
        <v>82</v>
      </c>
      <c r="P1905" t="str">
        <f>"4170064752                    "</f>
        <v xml:space="preserve">4170064752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22.36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70.959999999999994</v>
      </c>
      <c r="BM1905">
        <v>10.64</v>
      </c>
      <c r="BN1905">
        <v>81.599999999999994</v>
      </c>
      <c r="BO1905">
        <v>81.599999999999994</v>
      </c>
      <c r="BQ1905" t="s">
        <v>160</v>
      </c>
      <c r="BR1905" t="s">
        <v>97</v>
      </c>
      <c r="BS1905" s="3">
        <v>45950</v>
      </c>
      <c r="BT1905" s="4">
        <v>0.39791666666666664</v>
      </c>
      <c r="BU1905" t="s">
        <v>1830</v>
      </c>
      <c r="BV1905" t="s">
        <v>86</v>
      </c>
      <c r="BY1905">
        <v>1200</v>
      </c>
      <c r="CA1905" t="s">
        <v>742</v>
      </c>
      <c r="CC1905" t="s">
        <v>122</v>
      </c>
      <c r="CD1905">
        <v>4000</v>
      </c>
      <c r="CE1905" t="s">
        <v>147</v>
      </c>
      <c r="CF1905" s="3">
        <v>45950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"080068582840"</f>
        <v>080068582840</v>
      </c>
      <c r="F1906" s="3">
        <v>45947</v>
      </c>
      <c r="G1906">
        <v>202607</v>
      </c>
      <c r="H1906" t="s">
        <v>79</v>
      </c>
      <c r="I1906" t="s">
        <v>80</v>
      </c>
      <c r="J1906" t="s">
        <v>91</v>
      </c>
      <c r="K1906" t="s">
        <v>78</v>
      </c>
      <c r="L1906" t="s">
        <v>108</v>
      </c>
      <c r="M1906" t="s">
        <v>109</v>
      </c>
      <c r="N1906" t="s">
        <v>440</v>
      </c>
      <c r="O1906" t="s">
        <v>82</v>
      </c>
      <c r="P1906" t="str">
        <f>"4170064785                    "</f>
        <v xml:space="preserve">4170064785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22.36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70.959999999999994</v>
      </c>
      <c r="BM1906">
        <v>10.64</v>
      </c>
      <c r="BN1906">
        <v>81.599999999999994</v>
      </c>
      <c r="BO1906">
        <v>81.599999999999994</v>
      </c>
      <c r="BQ1906" t="s">
        <v>441</v>
      </c>
      <c r="BR1906" t="s">
        <v>97</v>
      </c>
      <c r="BS1906" s="3">
        <v>45950</v>
      </c>
      <c r="BT1906" s="4">
        <v>0.40208333333333335</v>
      </c>
      <c r="BU1906" t="s">
        <v>2635</v>
      </c>
      <c r="BV1906" t="s">
        <v>86</v>
      </c>
      <c r="BY1906">
        <v>1200</v>
      </c>
      <c r="CA1906" t="s">
        <v>762</v>
      </c>
      <c r="CC1906" t="s">
        <v>109</v>
      </c>
      <c r="CD1906">
        <v>6001</v>
      </c>
      <c r="CE1906" t="s">
        <v>147</v>
      </c>
      <c r="CF1906" s="3">
        <v>45950</v>
      </c>
      <c r="CI1906">
        <v>1</v>
      </c>
      <c r="CJ1906">
        <v>1</v>
      </c>
      <c r="CK1906">
        <v>21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"080068582868"</f>
        <v>080068582868</v>
      </c>
      <c r="F1907" s="3">
        <v>45947</v>
      </c>
      <c r="G1907">
        <v>202607</v>
      </c>
      <c r="H1907" t="s">
        <v>79</v>
      </c>
      <c r="I1907" t="s">
        <v>80</v>
      </c>
      <c r="J1907" t="s">
        <v>91</v>
      </c>
      <c r="K1907" t="s">
        <v>78</v>
      </c>
      <c r="L1907" t="s">
        <v>223</v>
      </c>
      <c r="M1907" t="s">
        <v>224</v>
      </c>
      <c r="N1907" t="s">
        <v>225</v>
      </c>
      <c r="O1907" t="s">
        <v>82</v>
      </c>
      <c r="P1907" t="str">
        <f>"4170064738                    "</f>
        <v xml:space="preserve">4170064738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17.46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55.42</v>
      </c>
      <c r="BM1907">
        <v>8.31</v>
      </c>
      <c r="BN1907">
        <v>63.73</v>
      </c>
      <c r="BO1907">
        <v>63.73</v>
      </c>
      <c r="BQ1907" t="s">
        <v>227</v>
      </c>
      <c r="BR1907" t="s">
        <v>97</v>
      </c>
      <c r="BS1907" s="3">
        <v>45950</v>
      </c>
      <c r="BT1907" s="4">
        <v>0.37291666666666667</v>
      </c>
      <c r="BU1907" t="s">
        <v>1731</v>
      </c>
      <c r="BV1907" t="s">
        <v>86</v>
      </c>
      <c r="BY1907">
        <v>1200</v>
      </c>
      <c r="CA1907" t="s">
        <v>508</v>
      </c>
      <c r="CC1907" t="s">
        <v>224</v>
      </c>
      <c r="CD1907">
        <v>1459</v>
      </c>
      <c r="CE1907" t="s">
        <v>147</v>
      </c>
      <c r="CF1907" s="3">
        <v>45950</v>
      </c>
      <c r="CI1907">
        <v>1</v>
      </c>
      <c r="CJ1907">
        <v>1</v>
      </c>
      <c r="CK1907">
        <v>22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"080068582890"</f>
        <v>080068582890</v>
      </c>
      <c r="F1908" s="3">
        <v>45947</v>
      </c>
      <c r="G1908">
        <v>202607</v>
      </c>
      <c r="H1908" t="s">
        <v>79</v>
      </c>
      <c r="I1908" t="s">
        <v>80</v>
      </c>
      <c r="J1908" t="s">
        <v>91</v>
      </c>
      <c r="K1908" t="s">
        <v>78</v>
      </c>
      <c r="L1908" t="s">
        <v>168</v>
      </c>
      <c r="M1908" t="s">
        <v>169</v>
      </c>
      <c r="N1908" t="s">
        <v>170</v>
      </c>
      <c r="O1908" t="s">
        <v>82</v>
      </c>
      <c r="P1908" t="str">
        <f>"4170064722                    "</f>
        <v xml:space="preserve">4170064722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22.36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70.959999999999994</v>
      </c>
      <c r="BM1908">
        <v>10.64</v>
      </c>
      <c r="BN1908">
        <v>81.599999999999994</v>
      </c>
      <c r="BO1908">
        <v>81.599999999999994</v>
      </c>
      <c r="BQ1908" t="s">
        <v>171</v>
      </c>
      <c r="BR1908" t="s">
        <v>97</v>
      </c>
      <c r="BS1908" s="3">
        <v>45950</v>
      </c>
      <c r="BT1908" s="4">
        <v>0.35902777777777778</v>
      </c>
      <c r="BU1908" t="s">
        <v>2132</v>
      </c>
      <c r="BV1908" t="s">
        <v>86</v>
      </c>
      <c r="BY1908">
        <v>1200</v>
      </c>
      <c r="CA1908">
        <v>7712195338085</v>
      </c>
      <c r="CC1908" t="s">
        <v>169</v>
      </c>
      <c r="CD1908" s="5" t="s">
        <v>173</v>
      </c>
      <c r="CE1908" t="s">
        <v>147</v>
      </c>
      <c r="CF1908" s="3">
        <v>45950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"080068582920"</f>
        <v>080068582920</v>
      </c>
      <c r="F1909" s="3">
        <v>45947</v>
      </c>
      <c r="G1909">
        <v>202607</v>
      </c>
      <c r="H1909" t="s">
        <v>79</v>
      </c>
      <c r="I1909" t="s">
        <v>80</v>
      </c>
      <c r="J1909" t="s">
        <v>91</v>
      </c>
      <c r="K1909" t="s">
        <v>78</v>
      </c>
      <c r="L1909" t="s">
        <v>763</v>
      </c>
      <c r="M1909" t="s">
        <v>764</v>
      </c>
      <c r="N1909" t="s">
        <v>765</v>
      </c>
      <c r="O1909" t="s">
        <v>82</v>
      </c>
      <c r="P1909" t="str">
        <f>"4170064735                    "</f>
        <v xml:space="preserve">4170064735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43.31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137.47</v>
      </c>
      <c r="BM1909">
        <v>20.62</v>
      </c>
      <c r="BN1909">
        <v>158.09</v>
      </c>
      <c r="BO1909">
        <v>158.09</v>
      </c>
      <c r="BQ1909" t="s">
        <v>766</v>
      </c>
      <c r="BR1909" t="s">
        <v>97</v>
      </c>
      <c r="BS1909" s="3">
        <v>45950</v>
      </c>
      <c r="BT1909" s="4">
        <v>0.3888888888888889</v>
      </c>
      <c r="BU1909" t="s">
        <v>2625</v>
      </c>
      <c r="BV1909" t="s">
        <v>86</v>
      </c>
      <c r="BY1909">
        <v>1200</v>
      </c>
      <c r="CA1909" t="s">
        <v>768</v>
      </c>
      <c r="CC1909" t="s">
        <v>764</v>
      </c>
      <c r="CD1909">
        <v>2531</v>
      </c>
      <c r="CE1909" t="s">
        <v>147</v>
      </c>
      <c r="CF1909" s="3">
        <v>45951</v>
      </c>
      <c r="CI1909">
        <v>1</v>
      </c>
      <c r="CJ1909">
        <v>1</v>
      </c>
      <c r="CK1909">
        <v>23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"080068582958"</f>
        <v>080068582958</v>
      </c>
      <c r="F1910" s="3">
        <v>45947</v>
      </c>
      <c r="G1910">
        <v>202607</v>
      </c>
      <c r="H1910" t="s">
        <v>79</v>
      </c>
      <c r="I1910" t="s">
        <v>80</v>
      </c>
      <c r="J1910" t="s">
        <v>91</v>
      </c>
      <c r="K1910" t="s">
        <v>78</v>
      </c>
      <c r="L1910" t="s">
        <v>233</v>
      </c>
      <c r="M1910" t="s">
        <v>234</v>
      </c>
      <c r="N1910" t="s">
        <v>908</v>
      </c>
      <c r="O1910" t="s">
        <v>82</v>
      </c>
      <c r="P1910" t="str">
        <f>"4170064706                    "</f>
        <v xml:space="preserve">4170064706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22.36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70.959999999999994</v>
      </c>
      <c r="BM1910">
        <v>10.64</v>
      </c>
      <c r="BN1910">
        <v>81.599999999999994</v>
      </c>
      <c r="BO1910">
        <v>81.599999999999994</v>
      </c>
      <c r="BQ1910" t="s">
        <v>909</v>
      </c>
      <c r="BR1910" t="s">
        <v>97</v>
      </c>
      <c r="BS1910" s="3">
        <v>45950</v>
      </c>
      <c r="BT1910" s="4">
        <v>0.35902777777777778</v>
      </c>
      <c r="BU1910" t="s">
        <v>1961</v>
      </c>
      <c r="BV1910" t="s">
        <v>86</v>
      </c>
      <c r="BY1910">
        <v>1200</v>
      </c>
      <c r="CA1910">
        <v>7712195338085</v>
      </c>
      <c r="CC1910" t="s">
        <v>234</v>
      </c>
      <c r="CD1910" s="5" t="s">
        <v>238</v>
      </c>
      <c r="CE1910" t="s">
        <v>147</v>
      </c>
      <c r="CF1910" s="3">
        <v>45950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"080068582977"</f>
        <v>080068582977</v>
      </c>
      <c r="F1911" s="3">
        <v>45947</v>
      </c>
      <c r="G1911">
        <v>202607</v>
      </c>
      <c r="H1911" t="s">
        <v>79</v>
      </c>
      <c r="I1911" t="s">
        <v>80</v>
      </c>
      <c r="J1911" t="s">
        <v>91</v>
      </c>
      <c r="K1911" t="s">
        <v>78</v>
      </c>
      <c r="L1911" t="s">
        <v>223</v>
      </c>
      <c r="M1911" t="s">
        <v>224</v>
      </c>
      <c r="N1911" t="s">
        <v>505</v>
      </c>
      <c r="O1911" t="s">
        <v>82</v>
      </c>
      <c r="P1911" t="str">
        <f>"4170064688                    "</f>
        <v xml:space="preserve">4170064688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17.46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55.42</v>
      </c>
      <c r="BM1911">
        <v>8.31</v>
      </c>
      <c r="BN1911">
        <v>63.73</v>
      </c>
      <c r="BO1911">
        <v>63.73</v>
      </c>
      <c r="BQ1911" t="s">
        <v>506</v>
      </c>
      <c r="BR1911" t="s">
        <v>97</v>
      </c>
      <c r="BS1911" s="3">
        <v>45950</v>
      </c>
      <c r="BT1911" s="4">
        <v>0.29930555555555555</v>
      </c>
      <c r="BU1911" t="s">
        <v>507</v>
      </c>
      <c r="BV1911" t="s">
        <v>86</v>
      </c>
      <c r="BY1911">
        <v>1200</v>
      </c>
      <c r="CA1911" t="s">
        <v>508</v>
      </c>
      <c r="CC1911" t="s">
        <v>224</v>
      </c>
      <c r="CD1911">
        <v>1459</v>
      </c>
      <c r="CE1911" t="s">
        <v>147</v>
      </c>
      <c r="CF1911" s="3">
        <v>45950</v>
      </c>
      <c r="CI1911">
        <v>1</v>
      </c>
      <c r="CJ1911">
        <v>1</v>
      </c>
      <c r="CK1911">
        <v>22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"080068582998"</f>
        <v>080068582998</v>
      </c>
      <c r="F1912" s="3">
        <v>45947</v>
      </c>
      <c r="G1912">
        <v>202607</v>
      </c>
      <c r="H1912" t="s">
        <v>79</v>
      </c>
      <c r="I1912" t="s">
        <v>80</v>
      </c>
      <c r="J1912" t="s">
        <v>91</v>
      </c>
      <c r="K1912" t="s">
        <v>78</v>
      </c>
      <c r="L1912" t="s">
        <v>350</v>
      </c>
      <c r="M1912" t="s">
        <v>351</v>
      </c>
      <c r="N1912" t="s">
        <v>2636</v>
      </c>
      <c r="O1912" t="s">
        <v>82</v>
      </c>
      <c r="P1912" t="str">
        <f>"4170064718                    "</f>
        <v xml:space="preserve">4170064718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43.31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137.47</v>
      </c>
      <c r="BM1912">
        <v>20.62</v>
      </c>
      <c r="BN1912">
        <v>158.09</v>
      </c>
      <c r="BO1912">
        <v>158.09</v>
      </c>
      <c r="BQ1912" t="s">
        <v>2637</v>
      </c>
      <c r="BR1912" t="s">
        <v>97</v>
      </c>
      <c r="BS1912" s="3">
        <v>45950</v>
      </c>
      <c r="BT1912" s="4">
        <v>0.41736111111111113</v>
      </c>
      <c r="BU1912" t="s">
        <v>2638</v>
      </c>
      <c r="BV1912" t="s">
        <v>86</v>
      </c>
      <c r="BY1912">
        <v>1200</v>
      </c>
      <c r="CA1912" t="s">
        <v>2097</v>
      </c>
      <c r="CC1912" t="s">
        <v>351</v>
      </c>
      <c r="CD1912" s="5" t="s">
        <v>356</v>
      </c>
      <c r="CE1912" t="s">
        <v>147</v>
      </c>
      <c r="CF1912" s="3">
        <v>45951</v>
      </c>
      <c r="CI1912">
        <v>1</v>
      </c>
      <c r="CJ1912">
        <v>1</v>
      </c>
      <c r="CK1912">
        <v>23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"080068583228"</f>
        <v>080068583228</v>
      </c>
      <c r="F1913" s="3">
        <v>45947</v>
      </c>
      <c r="G1913">
        <v>202607</v>
      </c>
      <c r="H1913" t="s">
        <v>79</v>
      </c>
      <c r="I1913" t="s">
        <v>80</v>
      </c>
      <c r="J1913" t="s">
        <v>91</v>
      </c>
      <c r="K1913" t="s">
        <v>78</v>
      </c>
      <c r="L1913" t="s">
        <v>239</v>
      </c>
      <c r="M1913" t="s">
        <v>240</v>
      </c>
      <c r="N1913" t="s">
        <v>526</v>
      </c>
      <c r="O1913" t="s">
        <v>82</v>
      </c>
      <c r="P1913" t="str">
        <f>"4170064733                    "</f>
        <v xml:space="preserve">4170064733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43.31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0.2</v>
      </c>
      <c r="BJ1913">
        <v>1.5</v>
      </c>
      <c r="BK1913">
        <v>1.5</v>
      </c>
      <c r="BL1913">
        <v>137.47</v>
      </c>
      <c r="BM1913">
        <v>20.62</v>
      </c>
      <c r="BN1913">
        <v>158.09</v>
      </c>
      <c r="BO1913">
        <v>158.09</v>
      </c>
      <c r="BQ1913" t="s">
        <v>527</v>
      </c>
      <c r="BR1913" t="s">
        <v>97</v>
      </c>
      <c r="BS1913" s="3">
        <v>45950</v>
      </c>
      <c r="BT1913" s="4">
        <v>0.40486111111111112</v>
      </c>
      <c r="BU1913" t="s">
        <v>528</v>
      </c>
      <c r="BV1913" t="s">
        <v>86</v>
      </c>
      <c r="BY1913">
        <v>7440.93</v>
      </c>
      <c r="CA1913" t="s">
        <v>529</v>
      </c>
      <c r="CC1913" t="s">
        <v>240</v>
      </c>
      <c r="CD1913" s="5" t="s">
        <v>245</v>
      </c>
      <c r="CE1913" t="s">
        <v>191</v>
      </c>
      <c r="CF1913" s="3">
        <v>45951</v>
      </c>
      <c r="CI1913">
        <v>1</v>
      </c>
      <c r="CJ1913">
        <v>1</v>
      </c>
      <c r="CK1913">
        <v>23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"080068583246"</f>
        <v>080068583246</v>
      </c>
      <c r="F1914" s="3">
        <v>45947</v>
      </c>
      <c r="G1914">
        <v>202607</v>
      </c>
      <c r="H1914" t="s">
        <v>79</v>
      </c>
      <c r="I1914" t="s">
        <v>80</v>
      </c>
      <c r="J1914" t="s">
        <v>91</v>
      </c>
      <c r="K1914" t="s">
        <v>78</v>
      </c>
      <c r="L1914" t="s">
        <v>79</v>
      </c>
      <c r="M1914" t="s">
        <v>80</v>
      </c>
      <c r="N1914" t="s">
        <v>163</v>
      </c>
      <c r="O1914" t="s">
        <v>226</v>
      </c>
      <c r="P1914" t="str">
        <f>"4170064699                    "</f>
        <v xml:space="preserve">4170064699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17.47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4</v>
      </c>
      <c r="BJ1914">
        <v>1.7</v>
      </c>
      <c r="BK1914">
        <v>4</v>
      </c>
      <c r="BL1914">
        <v>55.44</v>
      </c>
      <c r="BM1914">
        <v>8.32</v>
      </c>
      <c r="BN1914">
        <v>63.76</v>
      </c>
      <c r="BO1914">
        <v>63.76</v>
      </c>
      <c r="BQ1914" t="s">
        <v>164</v>
      </c>
      <c r="BR1914" t="s">
        <v>97</v>
      </c>
      <c r="BS1914" s="3">
        <v>45950</v>
      </c>
      <c r="BT1914" s="4">
        <v>0.30902777777777779</v>
      </c>
      <c r="BU1914" t="s">
        <v>2639</v>
      </c>
      <c r="BV1914" t="s">
        <v>86</v>
      </c>
      <c r="BY1914">
        <v>8400</v>
      </c>
      <c r="CA1914" t="s">
        <v>166</v>
      </c>
      <c r="CC1914" t="s">
        <v>80</v>
      </c>
      <c r="CD1914">
        <v>1600</v>
      </c>
      <c r="CE1914" t="s">
        <v>107</v>
      </c>
      <c r="CF1914" s="3">
        <v>45950</v>
      </c>
      <c r="CI1914">
        <v>1</v>
      </c>
      <c r="CJ1914">
        <v>1</v>
      </c>
      <c r="CK1914">
        <v>32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"080068583273"</f>
        <v>080068583273</v>
      </c>
      <c r="F1915" s="3">
        <v>45947</v>
      </c>
      <c r="G1915">
        <v>202607</v>
      </c>
      <c r="H1915" t="s">
        <v>79</v>
      </c>
      <c r="I1915" t="s">
        <v>80</v>
      </c>
      <c r="J1915" t="s">
        <v>91</v>
      </c>
      <c r="K1915" t="s">
        <v>78</v>
      </c>
      <c r="L1915" t="s">
        <v>114</v>
      </c>
      <c r="M1915" t="s">
        <v>115</v>
      </c>
      <c r="N1915" t="s">
        <v>746</v>
      </c>
      <c r="O1915" t="s">
        <v>82</v>
      </c>
      <c r="P1915" t="str">
        <f>"4170064753                    "</f>
        <v xml:space="preserve">4170064753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22.36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0.9</v>
      </c>
      <c r="BK1915">
        <v>1</v>
      </c>
      <c r="BL1915">
        <v>70.959999999999994</v>
      </c>
      <c r="BM1915">
        <v>10.64</v>
      </c>
      <c r="BN1915">
        <v>81.599999999999994</v>
      </c>
      <c r="BO1915">
        <v>81.599999999999994</v>
      </c>
      <c r="BQ1915" t="s">
        <v>747</v>
      </c>
      <c r="BR1915" t="s">
        <v>97</v>
      </c>
      <c r="BS1915" s="3">
        <v>45950</v>
      </c>
      <c r="BT1915" s="4">
        <v>0.44444444444444442</v>
      </c>
      <c r="BU1915" t="s">
        <v>2640</v>
      </c>
      <c r="BV1915" t="s">
        <v>90</v>
      </c>
      <c r="BY1915">
        <v>4368</v>
      </c>
      <c r="CA1915" t="s">
        <v>749</v>
      </c>
      <c r="CC1915" t="s">
        <v>115</v>
      </c>
      <c r="CD1915">
        <v>5201</v>
      </c>
      <c r="CE1915" t="s">
        <v>107</v>
      </c>
      <c r="CF1915" s="3">
        <v>45951</v>
      </c>
      <c r="CI1915">
        <v>1</v>
      </c>
      <c r="CJ1915">
        <v>1</v>
      </c>
      <c r="CK1915">
        <v>21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"080068583302"</f>
        <v>080068583302</v>
      </c>
      <c r="F1916" s="3">
        <v>45947</v>
      </c>
      <c r="G1916">
        <v>202607</v>
      </c>
      <c r="H1916" t="s">
        <v>79</v>
      </c>
      <c r="I1916" t="s">
        <v>80</v>
      </c>
      <c r="J1916" t="s">
        <v>91</v>
      </c>
      <c r="K1916" t="s">
        <v>78</v>
      </c>
      <c r="L1916" t="s">
        <v>92</v>
      </c>
      <c r="M1916" t="s">
        <v>93</v>
      </c>
      <c r="N1916" t="s">
        <v>94</v>
      </c>
      <c r="O1916" t="s">
        <v>82</v>
      </c>
      <c r="P1916" t="str">
        <f>"4170064562                    "</f>
        <v xml:space="preserve">4170064562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156.38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7</v>
      </c>
      <c r="BJ1916">
        <v>14</v>
      </c>
      <c r="BK1916">
        <v>14</v>
      </c>
      <c r="BL1916">
        <v>496.34</v>
      </c>
      <c r="BM1916">
        <v>74.45</v>
      </c>
      <c r="BN1916">
        <v>570.79</v>
      </c>
      <c r="BO1916">
        <v>570.79</v>
      </c>
      <c r="BQ1916" t="s">
        <v>96</v>
      </c>
      <c r="BR1916" t="s">
        <v>97</v>
      </c>
      <c r="BS1916" s="3">
        <v>45950</v>
      </c>
      <c r="BT1916" s="4">
        <v>0.42152777777777778</v>
      </c>
      <c r="BU1916" t="s">
        <v>98</v>
      </c>
      <c r="BV1916" t="s">
        <v>86</v>
      </c>
      <c r="BY1916">
        <v>69750</v>
      </c>
      <c r="CA1916" t="s">
        <v>100</v>
      </c>
      <c r="CC1916" t="s">
        <v>93</v>
      </c>
      <c r="CD1916">
        <v>3201</v>
      </c>
      <c r="CE1916" t="s">
        <v>191</v>
      </c>
      <c r="CF1916" s="3">
        <v>45950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"080068583350"</f>
        <v>080068583350</v>
      </c>
      <c r="F1917" s="3">
        <v>45947</v>
      </c>
      <c r="G1917">
        <v>202607</v>
      </c>
      <c r="H1917" t="s">
        <v>79</v>
      </c>
      <c r="I1917" t="s">
        <v>80</v>
      </c>
      <c r="J1917" t="s">
        <v>91</v>
      </c>
      <c r="K1917" t="s">
        <v>78</v>
      </c>
      <c r="L1917" t="s">
        <v>168</v>
      </c>
      <c r="M1917" t="s">
        <v>169</v>
      </c>
      <c r="N1917" t="s">
        <v>1801</v>
      </c>
      <c r="O1917" t="s">
        <v>82</v>
      </c>
      <c r="P1917" t="str">
        <f>"4170064725                    "</f>
        <v xml:space="preserve">4170064725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22.36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70.959999999999994</v>
      </c>
      <c r="BM1917">
        <v>10.64</v>
      </c>
      <c r="BN1917">
        <v>81.599999999999994</v>
      </c>
      <c r="BO1917">
        <v>81.599999999999994</v>
      </c>
      <c r="BQ1917" t="s">
        <v>1802</v>
      </c>
      <c r="BR1917" t="s">
        <v>97</v>
      </c>
      <c r="BS1917" s="3">
        <v>45950</v>
      </c>
      <c r="BT1917" s="4">
        <v>0.33819444444444446</v>
      </c>
      <c r="BU1917" t="s">
        <v>2641</v>
      </c>
      <c r="BV1917" t="s">
        <v>86</v>
      </c>
      <c r="BY1917">
        <v>1200</v>
      </c>
      <c r="CA1917">
        <v>8110305701087</v>
      </c>
      <c r="CC1917" t="s">
        <v>169</v>
      </c>
      <c r="CD1917" s="5" t="s">
        <v>839</v>
      </c>
      <c r="CE1917" t="s">
        <v>147</v>
      </c>
      <c r="CF1917" s="3">
        <v>45950</v>
      </c>
      <c r="CI1917">
        <v>1</v>
      </c>
      <c r="CJ1917">
        <v>1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"080068583383"</f>
        <v>080068583383</v>
      </c>
      <c r="F1918" s="3">
        <v>45947</v>
      </c>
      <c r="G1918">
        <v>202607</v>
      </c>
      <c r="H1918" t="s">
        <v>79</v>
      </c>
      <c r="I1918" t="s">
        <v>80</v>
      </c>
      <c r="J1918" t="s">
        <v>91</v>
      </c>
      <c r="K1918" t="s">
        <v>78</v>
      </c>
      <c r="L1918" t="s">
        <v>300</v>
      </c>
      <c r="M1918" t="s">
        <v>301</v>
      </c>
      <c r="N1918" t="s">
        <v>2642</v>
      </c>
      <c r="O1918" t="s">
        <v>82</v>
      </c>
      <c r="P1918" t="str">
        <f>"4170064729                    "</f>
        <v xml:space="preserve">4170064729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31.44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99.79</v>
      </c>
      <c r="BM1918">
        <v>14.97</v>
      </c>
      <c r="BN1918">
        <v>114.76</v>
      </c>
      <c r="BO1918">
        <v>114.76</v>
      </c>
      <c r="BQ1918" t="s">
        <v>2643</v>
      </c>
      <c r="BR1918" t="s">
        <v>97</v>
      </c>
      <c r="BS1918" s="3">
        <v>45950</v>
      </c>
      <c r="BT1918" s="4">
        <v>0.46388888888888891</v>
      </c>
      <c r="BU1918" t="s">
        <v>495</v>
      </c>
      <c r="BV1918" t="s">
        <v>86</v>
      </c>
      <c r="BY1918">
        <v>1200</v>
      </c>
      <c r="CA1918" t="s">
        <v>496</v>
      </c>
      <c r="CC1918" t="s">
        <v>301</v>
      </c>
      <c r="CD1918">
        <v>1739</v>
      </c>
      <c r="CE1918" t="s">
        <v>147</v>
      </c>
      <c r="CF1918" s="3">
        <v>45951</v>
      </c>
      <c r="CI1918">
        <v>1</v>
      </c>
      <c r="CJ1918">
        <v>1</v>
      </c>
      <c r="CK1918">
        <v>24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"080068583400"</f>
        <v>080068583400</v>
      </c>
      <c r="F1919" s="3">
        <v>45947</v>
      </c>
      <c r="G1919">
        <v>202607</v>
      </c>
      <c r="H1919" t="s">
        <v>79</v>
      </c>
      <c r="I1919" t="s">
        <v>80</v>
      </c>
      <c r="J1919" t="s">
        <v>91</v>
      </c>
      <c r="K1919" t="s">
        <v>78</v>
      </c>
      <c r="L1919" t="s">
        <v>350</v>
      </c>
      <c r="M1919" t="s">
        <v>351</v>
      </c>
      <c r="N1919" t="s">
        <v>2644</v>
      </c>
      <c r="O1919" t="s">
        <v>82</v>
      </c>
      <c r="P1919" t="str">
        <f>"4170064755                    "</f>
        <v xml:space="preserve">4170064755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43.31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137.47</v>
      </c>
      <c r="BM1919">
        <v>20.62</v>
      </c>
      <c r="BN1919">
        <v>158.09</v>
      </c>
      <c r="BO1919">
        <v>158.09</v>
      </c>
      <c r="BQ1919" t="s">
        <v>2645</v>
      </c>
      <c r="BR1919" t="s">
        <v>97</v>
      </c>
      <c r="BS1919" s="3">
        <v>45950</v>
      </c>
      <c r="BT1919" s="4">
        <v>0.43402777777777779</v>
      </c>
      <c r="BU1919" t="s">
        <v>2646</v>
      </c>
      <c r="BV1919" t="s">
        <v>86</v>
      </c>
      <c r="BY1919">
        <v>1200</v>
      </c>
      <c r="CA1919" t="s">
        <v>355</v>
      </c>
      <c r="CC1919" t="s">
        <v>351</v>
      </c>
      <c r="CD1919" s="5" t="s">
        <v>1911</v>
      </c>
      <c r="CE1919" t="s">
        <v>147</v>
      </c>
      <c r="CF1919" s="3">
        <v>45951</v>
      </c>
      <c r="CI1919">
        <v>1</v>
      </c>
      <c r="CJ1919">
        <v>1</v>
      </c>
      <c r="CK1919">
        <v>23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"080068583414"</f>
        <v>080068583414</v>
      </c>
      <c r="F1920" s="3">
        <v>45947</v>
      </c>
      <c r="G1920">
        <v>202607</v>
      </c>
      <c r="H1920" t="s">
        <v>79</v>
      </c>
      <c r="I1920" t="s">
        <v>80</v>
      </c>
      <c r="J1920" t="s">
        <v>91</v>
      </c>
      <c r="K1920" t="s">
        <v>78</v>
      </c>
      <c r="L1920" t="s">
        <v>114</v>
      </c>
      <c r="M1920" t="s">
        <v>115</v>
      </c>
      <c r="N1920" t="s">
        <v>1073</v>
      </c>
      <c r="O1920" t="s">
        <v>82</v>
      </c>
      <c r="P1920" t="str">
        <f>"4170064743                    "</f>
        <v xml:space="preserve">4170064743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22.36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70.959999999999994</v>
      </c>
      <c r="BM1920">
        <v>10.64</v>
      </c>
      <c r="BN1920">
        <v>81.599999999999994</v>
      </c>
      <c r="BO1920">
        <v>81.599999999999994</v>
      </c>
      <c r="BQ1920" t="s">
        <v>1074</v>
      </c>
      <c r="BR1920" t="s">
        <v>97</v>
      </c>
      <c r="BS1920" s="3">
        <v>45950</v>
      </c>
      <c r="BT1920" s="4">
        <v>0.3888888888888889</v>
      </c>
      <c r="BU1920" t="s">
        <v>2647</v>
      </c>
      <c r="BV1920" t="s">
        <v>86</v>
      </c>
      <c r="BY1920">
        <v>1200</v>
      </c>
      <c r="CA1920" t="s">
        <v>760</v>
      </c>
      <c r="CC1920" t="s">
        <v>115</v>
      </c>
      <c r="CD1920">
        <v>5201</v>
      </c>
      <c r="CE1920" t="s">
        <v>147</v>
      </c>
      <c r="CF1920" s="3">
        <v>45951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"080068583455"</f>
        <v>080068583455</v>
      </c>
      <c r="F1921" s="3">
        <v>45947</v>
      </c>
      <c r="G1921">
        <v>202607</v>
      </c>
      <c r="H1921" t="s">
        <v>79</v>
      </c>
      <c r="I1921" t="s">
        <v>80</v>
      </c>
      <c r="J1921" t="s">
        <v>91</v>
      </c>
      <c r="K1921" t="s">
        <v>78</v>
      </c>
      <c r="L1921" t="s">
        <v>2111</v>
      </c>
      <c r="M1921" t="s">
        <v>2112</v>
      </c>
      <c r="N1921" t="s">
        <v>2113</v>
      </c>
      <c r="O1921" t="s">
        <v>82</v>
      </c>
      <c r="P1921" t="str">
        <f>"4170064769                    "</f>
        <v xml:space="preserve">4170064769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43.31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137.47</v>
      </c>
      <c r="BM1921">
        <v>20.62</v>
      </c>
      <c r="BN1921">
        <v>158.09</v>
      </c>
      <c r="BO1921">
        <v>158.09</v>
      </c>
      <c r="BQ1921" t="s">
        <v>2114</v>
      </c>
      <c r="BR1921" t="s">
        <v>97</v>
      </c>
      <c r="BS1921" s="3">
        <v>45951</v>
      </c>
      <c r="BT1921" s="4">
        <v>0.67013888888888884</v>
      </c>
      <c r="BU1921" t="s">
        <v>1216</v>
      </c>
      <c r="BV1921" t="s">
        <v>90</v>
      </c>
      <c r="BW1921" t="s">
        <v>136</v>
      </c>
      <c r="BX1921" t="s">
        <v>787</v>
      </c>
      <c r="BY1921">
        <v>1200</v>
      </c>
      <c r="CA1921" t="s">
        <v>2648</v>
      </c>
      <c r="CC1921" t="s">
        <v>2112</v>
      </c>
      <c r="CD1921">
        <v>4399</v>
      </c>
      <c r="CE1921" t="s">
        <v>147</v>
      </c>
      <c r="CF1921" s="3">
        <v>45951</v>
      </c>
      <c r="CI1921">
        <v>1</v>
      </c>
      <c r="CJ1921">
        <v>2</v>
      </c>
      <c r="CK1921">
        <v>23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"080068583472"</f>
        <v>080068583472</v>
      </c>
      <c r="F1922" s="3">
        <v>45947</v>
      </c>
      <c r="G1922">
        <v>202607</v>
      </c>
      <c r="H1922" t="s">
        <v>79</v>
      </c>
      <c r="I1922" t="s">
        <v>80</v>
      </c>
      <c r="J1922" t="s">
        <v>91</v>
      </c>
      <c r="K1922" t="s">
        <v>78</v>
      </c>
      <c r="L1922" t="s">
        <v>300</v>
      </c>
      <c r="M1922" t="s">
        <v>301</v>
      </c>
      <c r="N1922" t="s">
        <v>493</v>
      </c>
      <c r="O1922" t="s">
        <v>82</v>
      </c>
      <c r="P1922" t="str">
        <f>"4170064728                    "</f>
        <v xml:space="preserve">4170064728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31.44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99.79</v>
      </c>
      <c r="BM1922">
        <v>14.97</v>
      </c>
      <c r="BN1922">
        <v>114.76</v>
      </c>
      <c r="BO1922">
        <v>114.76</v>
      </c>
      <c r="BQ1922" t="s">
        <v>494</v>
      </c>
      <c r="BR1922" t="s">
        <v>97</v>
      </c>
      <c r="BS1922" s="3">
        <v>45950</v>
      </c>
      <c r="BT1922" s="4">
        <v>0.46388888888888891</v>
      </c>
      <c r="BU1922" t="s">
        <v>495</v>
      </c>
      <c r="BV1922" t="s">
        <v>86</v>
      </c>
      <c r="BY1922">
        <v>1200</v>
      </c>
      <c r="CA1922" t="s">
        <v>496</v>
      </c>
      <c r="CC1922" t="s">
        <v>301</v>
      </c>
      <c r="CD1922">
        <v>1739</v>
      </c>
      <c r="CE1922" t="s">
        <v>147</v>
      </c>
      <c r="CF1922" s="3">
        <v>45951</v>
      </c>
      <c r="CI1922">
        <v>1</v>
      </c>
      <c r="CJ1922">
        <v>1</v>
      </c>
      <c r="CK1922">
        <v>24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"080068583495"</f>
        <v>080068583495</v>
      </c>
      <c r="F1923" s="3">
        <v>45947</v>
      </c>
      <c r="G1923">
        <v>202607</v>
      </c>
      <c r="H1923" t="s">
        <v>79</v>
      </c>
      <c r="I1923" t="s">
        <v>80</v>
      </c>
      <c r="J1923" t="s">
        <v>91</v>
      </c>
      <c r="K1923" t="s">
        <v>78</v>
      </c>
      <c r="L1923" t="s">
        <v>79</v>
      </c>
      <c r="M1923" t="s">
        <v>80</v>
      </c>
      <c r="N1923" t="s">
        <v>357</v>
      </c>
      <c r="O1923" t="s">
        <v>82</v>
      </c>
      <c r="P1923" t="str">
        <f>"4170064714                    "</f>
        <v xml:space="preserve">4170064714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17.46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55.42</v>
      </c>
      <c r="BM1923">
        <v>8.31</v>
      </c>
      <c r="BN1923">
        <v>63.73</v>
      </c>
      <c r="BO1923">
        <v>63.73</v>
      </c>
      <c r="BQ1923" t="s">
        <v>358</v>
      </c>
      <c r="BR1923" t="s">
        <v>97</v>
      </c>
      <c r="BS1923" s="3">
        <v>45951</v>
      </c>
      <c r="BT1923" s="4">
        <v>0.41666666666666669</v>
      </c>
      <c r="BU1923" t="s">
        <v>2342</v>
      </c>
      <c r="BV1923" t="s">
        <v>90</v>
      </c>
      <c r="BW1923" t="s">
        <v>2649</v>
      </c>
      <c r="BX1923" t="s">
        <v>677</v>
      </c>
      <c r="BY1923">
        <v>1200</v>
      </c>
      <c r="CC1923" t="s">
        <v>80</v>
      </c>
      <c r="CD1923">
        <v>1645</v>
      </c>
      <c r="CE1923" t="s">
        <v>147</v>
      </c>
      <c r="CF1923" s="3">
        <v>45952</v>
      </c>
      <c r="CI1923">
        <v>1</v>
      </c>
      <c r="CJ1923">
        <v>2</v>
      </c>
      <c r="CK1923">
        <v>22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"080068583514"</f>
        <v>080068583514</v>
      </c>
      <c r="F1924" s="3">
        <v>45947</v>
      </c>
      <c r="G1924">
        <v>202607</v>
      </c>
      <c r="H1924" t="s">
        <v>79</v>
      </c>
      <c r="I1924" t="s">
        <v>80</v>
      </c>
      <c r="J1924" t="s">
        <v>91</v>
      </c>
      <c r="K1924" t="s">
        <v>78</v>
      </c>
      <c r="L1924" t="s">
        <v>218</v>
      </c>
      <c r="M1924" t="s">
        <v>219</v>
      </c>
      <c r="N1924" t="s">
        <v>1431</v>
      </c>
      <c r="O1924" t="s">
        <v>82</v>
      </c>
      <c r="P1924" t="str">
        <f>"4170064760                    "</f>
        <v xml:space="preserve">4170064760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17.46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55.42</v>
      </c>
      <c r="BM1924">
        <v>8.31</v>
      </c>
      <c r="BN1924">
        <v>63.73</v>
      </c>
      <c r="BO1924">
        <v>63.73</v>
      </c>
      <c r="BQ1924" t="s">
        <v>1432</v>
      </c>
      <c r="BR1924" t="s">
        <v>97</v>
      </c>
      <c r="BS1924" s="3">
        <v>45950</v>
      </c>
      <c r="BT1924" s="4">
        <v>0.30902777777777779</v>
      </c>
      <c r="BU1924" t="s">
        <v>2650</v>
      </c>
      <c r="BV1924" t="s">
        <v>86</v>
      </c>
      <c r="BY1924">
        <v>1200</v>
      </c>
      <c r="CA1924" t="s">
        <v>1434</v>
      </c>
      <c r="CC1924" t="s">
        <v>219</v>
      </c>
      <c r="CD1924">
        <v>1559</v>
      </c>
      <c r="CE1924" t="s">
        <v>147</v>
      </c>
      <c r="CF1924" s="3">
        <v>45950</v>
      </c>
      <c r="CI1924">
        <v>1</v>
      </c>
      <c r="CJ1924">
        <v>1</v>
      </c>
      <c r="CK1924">
        <v>22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"080068583530"</f>
        <v>080068583530</v>
      </c>
      <c r="F1925" s="3">
        <v>45947</v>
      </c>
      <c r="G1925">
        <v>202607</v>
      </c>
      <c r="H1925" t="s">
        <v>79</v>
      </c>
      <c r="I1925" t="s">
        <v>80</v>
      </c>
      <c r="J1925" t="s">
        <v>91</v>
      </c>
      <c r="K1925" t="s">
        <v>78</v>
      </c>
      <c r="L1925" t="s">
        <v>102</v>
      </c>
      <c r="M1925" t="s">
        <v>103</v>
      </c>
      <c r="N1925" t="s">
        <v>560</v>
      </c>
      <c r="O1925" t="s">
        <v>82</v>
      </c>
      <c r="P1925" t="str">
        <f>"4170064783                    "</f>
        <v xml:space="preserve">4170064783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17.46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55.42</v>
      </c>
      <c r="BM1925">
        <v>8.31</v>
      </c>
      <c r="BN1925">
        <v>63.73</v>
      </c>
      <c r="BO1925">
        <v>63.73</v>
      </c>
      <c r="BQ1925" t="s">
        <v>561</v>
      </c>
      <c r="BR1925" t="s">
        <v>97</v>
      </c>
      <c r="BS1925" s="3">
        <v>45950</v>
      </c>
      <c r="BT1925" s="4">
        <v>0.38750000000000001</v>
      </c>
      <c r="BU1925" t="s">
        <v>2651</v>
      </c>
      <c r="BV1925" t="s">
        <v>86</v>
      </c>
      <c r="BY1925">
        <v>1200</v>
      </c>
      <c r="CA1925" t="s">
        <v>621</v>
      </c>
      <c r="CC1925" t="s">
        <v>103</v>
      </c>
      <c r="CD1925">
        <v>1451</v>
      </c>
      <c r="CE1925" t="s">
        <v>147</v>
      </c>
      <c r="CF1925" s="3">
        <v>45951</v>
      </c>
      <c r="CI1925">
        <v>1</v>
      </c>
      <c r="CJ1925">
        <v>1</v>
      </c>
      <c r="CK1925">
        <v>22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"080068583548"</f>
        <v>080068583548</v>
      </c>
      <c r="F1926" s="3">
        <v>45947</v>
      </c>
      <c r="G1926">
        <v>202607</v>
      </c>
      <c r="H1926" t="s">
        <v>79</v>
      </c>
      <c r="I1926" t="s">
        <v>80</v>
      </c>
      <c r="J1926" t="s">
        <v>91</v>
      </c>
      <c r="K1926" t="s">
        <v>78</v>
      </c>
      <c r="L1926" t="s">
        <v>92</v>
      </c>
      <c r="M1926" t="s">
        <v>93</v>
      </c>
      <c r="N1926" t="s">
        <v>601</v>
      </c>
      <c r="O1926" t="s">
        <v>82</v>
      </c>
      <c r="P1926" t="str">
        <f>"4170064726                    "</f>
        <v xml:space="preserve">4170064726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22.36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70.959999999999994</v>
      </c>
      <c r="BM1926">
        <v>10.64</v>
      </c>
      <c r="BN1926">
        <v>81.599999999999994</v>
      </c>
      <c r="BO1926">
        <v>81.599999999999994</v>
      </c>
      <c r="BQ1926" t="s">
        <v>602</v>
      </c>
      <c r="BR1926" t="s">
        <v>97</v>
      </c>
      <c r="BS1926" s="3">
        <v>45950</v>
      </c>
      <c r="BT1926" s="4">
        <v>0.47083333333333333</v>
      </c>
      <c r="BU1926" t="s">
        <v>1700</v>
      </c>
      <c r="BV1926" t="s">
        <v>86</v>
      </c>
      <c r="BY1926">
        <v>1200</v>
      </c>
      <c r="CA1926" t="s">
        <v>146</v>
      </c>
      <c r="CC1926" t="s">
        <v>93</v>
      </c>
      <c r="CD1926">
        <v>3212</v>
      </c>
      <c r="CE1926" t="s">
        <v>147</v>
      </c>
      <c r="CF1926" s="3">
        <v>45950</v>
      </c>
      <c r="CI1926">
        <v>2</v>
      </c>
      <c r="CJ1926">
        <v>1</v>
      </c>
      <c r="CK1926">
        <v>21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"080068583566"</f>
        <v>080068583566</v>
      </c>
      <c r="F1927" s="3">
        <v>45947</v>
      </c>
      <c r="G1927">
        <v>202607</v>
      </c>
      <c r="H1927" t="s">
        <v>79</v>
      </c>
      <c r="I1927" t="s">
        <v>80</v>
      </c>
      <c r="J1927" t="s">
        <v>91</v>
      </c>
      <c r="K1927" t="s">
        <v>78</v>
      </c>
      <c r="L1927" t="s">
        <v>406</v>
      </c>
      <c r="M1927" t="s">
        <v>407</v>
      </c>
      <c r="N1927" t="s">
        <v>2652</v>
      </c>
      <c r="O1927" t="s">
        <v>82</v>
      </c>
      <c r="P1927" t="str">
        <f>"4170064734                    "</f>
        <v xml:space="preserve">4170064734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31.44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99.79</v>
      </c>
      <c r="BM1927">
        <v>14.97</v>
      </c>
      <c r="BN1927">
        <v>114.76</v>
      </c>
      <c r="BO1927">
        <v>114.76</v>
      </c>
      <c r="BQ1927" t="s">
        <v>2653</v>
      </c>
      <c r="BR1927" t="s">
        <v>97</v>
      </c>
      <c r="BS1927" s="3">
        <v>45950</v>
      </c>
      <c r="BT1927" s="4">
        <v>0.4236111111111111</v>
      </c>
      <c r="BU1927" t="s">
        <v>2193</v>
      </c>
      <c r="BV1927" t="s">
        <v>86</v>
      </c>
      <c r="BY1927">
        <v>1200</v>
      </c>
      <c r="CA1927" t="s">
        <v>1619</v>
      </c>
      <c r="CC1927" t="s">
        <v>407</v>
      </c>
      <c r="CD1927">
        <v>1441</v>
      </c>
      <c r="CE1927" t="s">
        <v>147</v>
      </c>
      <c r="CF1927" s="3">
        <v>45951</v>
      </c>
      <c r="CI1927">
        <v>1</v>
      </c>
      <c r="CJ1927">
        <v>1</v>
      </c>
      <c r="CK1927">
        <v>24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"080068583600"</f>
        <v>080068583600</v>
      </c>
      <c r="F1928" s="3">
        <v>45947</v>
      </c>
      <c r="G1928">
        <v>202607</v>
      </c>
      <c r="H1928" t="s">
        <v>79</v>
      </c>
      <c r="I1928" t="s">
        <v>80</v>
      </c>
      <c r="J1928" t="s">
        <v>91</v>
      </c>
      <c r="K1928" t="s">
        <v>78</v>
      </c>
      <c r="L1928" t="s">
        <v>223</v>
      </c>
      <c r="M1928" t="s">
        <v>224</v>
      </c>
      <c r="N1928" t="s">
        <v>225</v>
      </c>
      <c r="O1928" t="s">
        <v>82</v>
      </c>
      <c r="P1928" t="str">
        <f>"4170064773                    "</f>
        <v xml:space="preserve">4170064773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17.46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55.42</v>
      </c>
      <c r="BM1928">
        <v>8.31</v>
      </c>
      <c r="BN1928">
        <v>63.73</v>
      </c>
      <c r="BO1928">
        <v>63.73</v>
      </c>
      <c r="BQ1928" t="s">
        <v>227</v>
      </c>
      <c r="BR1928" t="s">
        <v>97</v>
      </c>
      <c r="BS1928" s="3">
        <v>45950</v>
      </c>
      <c r="BT1928" s="4">
        <v>0.37291666666666667</v>
      </c>
      <c r="BU1928" t="s">
        <v>1731</v>
      </c>
      <c r="BV1928" t="s">
        <v>86</v>
      </c>
      <c r="BY1928">
        <v>1200</v>
      </c>
      <c r="CA1928" t="s">
        <v>508</v>
      </c>
      <c r="CC1928" t="s">
        <v>224</v>
      </c>
      <c r="CD1928">
        <v>1459</v>
      </c>
      <c r="CE1928" t="s">
        <v>147</v>
      </c>
      <c r="CF1928" s="3">
        <v>45950</v>
      </c>
      <c r="CI1928">
        <v>1</v>
      </c>
      <c r="CJ1928">
        <v>1</v>
      </c>
      <c r="CK1928">
        <v>22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"080068583632"</f>
        <v>080068583632</v>
      </c>
      <c r="F1929" s="3">
        <v>45947</v>
      </c>
      <c r="G1929">
        <v>202607</v>
      </c>
      <c r="H1929" t="s">
        <v>79</v>
      </c>
      <c r="I1929" t="s">
        <v>80</v>
      </c>
      <c r="J1929" t="s">
        <v>91</v>
      </c>
      <c r="K1929" t="s">
        <v>78</v>
      </c>
      <c r="L1929" t="s">
        <v>884</v>
      </c>
      <c r="M1929" t="s">
        <v>885</v>
      </c>
      <c r="N1929" t="s">
        <v>886</v>
      </c>
      <c r="O1929" t="s">
        <v>82</v>
      </c>
      <c r="P1929" t="str">
        <f>"4170064761                    "</f>
        <v xml:space="preserve">4170064761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43.31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137.47</v>
      </c>
      <c r="BM1929">
        <v>20.62</v>
      </c>
      <c r="BN1929">
        <v>158.09</v>
      </c>
      <c r="BO1929">
        <v>158.09</v>
      </c>
      <c r="BQ1929" t="s">
        <v>887</v>
      </c>
      <c r="BR1929" t="s">
        <v>97</v>
      </c>
      <c r="BS1929" s="3">
        <v>45950</v>
      </c>
      <c r="BT1929" s="4">
        <v>0.33333333333333331</v>
      </c>
      <c r="BU1929" t="s">
        <v>1676</v>
      </c>
      <c r="BV1929" t="s">
        <v>86</v>
      </c>
      <c r="BY1929">
        <v>1200</v>
      </c>
      <c r="CC1929" t="s">
        <v>885</v>
      </c>
      <c r="CD1929">
        <v>2740</v>
      </c>
      <c r="CE1929" t="s">
        <v>147</v>
      </c>
      <c r="CF1929" s="3">
        <v>45951</v>
      </c>
      <c r="CI1929">
        <v>1</v>
      </c>
      <c r="CJ1929">
        <v>1</v>
      </c>
      <c r="CK1929">
        <v>23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"080068583645"</f>
        <v>080068583645</v>
      </c>
      <c r="F1930" s="3">
        <v>45947</v>
      </c>
      <c r="G1930">
        <v>202607</v>
      </c>
      <c r="H1930" t="s">
        <v>79</v>
      </c>
      <c r="I1930" t="s">
        <v>80</v>
      </c>
      <c r="J1930" t="s">
        <v>91</v>
      </c>
      <c r="K1930" t="s">
        <v>78</v>
      </c>
      <c r="L1930" t="s">
        <v>92</v>
      </c>
      <c r="M1930" t="s">
        <v>93</v>
      </c>
      <c r="N1930" t="s">
        <v>601</v>
      </c>
      <c r="O1930" t="s">
        <v>82</v>
      </c>
      <c r="P1930" t="str">
        <f>"4170064727                    "</f>
        <v xml:space="preserve">4170064727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22.36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70.959999999999994</v>
      </c>
      <c r="BM1930">
        <v>10.64</v>
      </c>
      <c r="BN1930">
        <v>81.599999999999994</v>
      </c>
      <c r="BO1930">
        <v>81.599999999999994</v>
      </c>
      <c r="BQ1930" t="s">
        <v>602</v>
      </c>
      <c r="BR1930" t="s">
        <v>97</v>
      </c>
      <c r="BS1930" s="3">
        <v>45950</v>
      </c>
      <c r="BT1930" s="4">
        <v>0.47083333333333333</v>
      </c>
      <c r="BU1930" t="s">
        <v>1700</v>
      </c>
      <c r="BV1930" t="s">
        <v>86</v>
      </c>
      <c r="BY1930">
        <v>1200</v>
      </c>
      <c r="CA1930" t="s">
        <v>146</v>
      </c>
      <c r="CC1930" t="s">
        <v>93</v>
      </c>
      <c r="CD1930">
        <v>3212</v>
      </c>
      <c r="CE1930" t="s">
        <v>147</v>
      </c>
      <c r="CF1930" s="3">
        <v>45950</v>
      </c>
      <c r="CI1930">
        <v>2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"080068583665"</f>
        <v>080068583665</v>
      </c>
      <c r="F1931" s="3">
        <v>45947</v>
      </c>
      <c r="G1931">
        <v>202607</v>
      </c>
      <c r="H1931" t="s">
        <v>79</v>
      </c>
      <c r="I1931" t="s">
        <v>80</v>
      </c>
      <c r="J1931" t="s">
        <v>91</v>
      </c>
      <c r="K1931" t="s">
        <v>78</v>
      </c>
      <c r="L1931" t="s">
        <v>108</v>
      </c>
      <c r="M1931" t="s">
        <v>109</v>
      </c>
      <c r="N1931" t="s">
        <v>1203</v>
      </c>
      <c r="O1931" t="s">
        <v>82</v>
      </c>
      <c r="P1931" t="str">
        <f>"4170064762                    "</f>
        <v xml:space="preserve">4170064762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22.36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70.959999999999994</v>
      </c>
      <c r="BM1931">
        <v>10.64</v>
      </c>
      <c r="BN1931">
        <v>81.599999999999994</v>
      </c>
      <c r="BO1931">
        <v>81.599999999999994</v>
      </c>
      <c r="BQ1931" t="s">
        <v>1204</v>
      </c>
      <c r="BR1931" t="s">
        <v>97</v>
      </c>
      <c r="BS1931" s="3">
        <v>45950</v>
      </c>
      <c r="BT1931" s="4">
        <v>0.41249999999999998</v>
      </c>
      <c r="BU1931" t="s">
        <v>2654</v>
      </c>
      <c r="BV1931" t="s">
        <v>86</v>
      </c>
      <c r="BY1931">
        <v>1200</v>
      </c>
      <c r="CA1931" t="s">
        <v>1090</v>
      </c>
      <c r="CC1931" t="s">
        <v>109</v>
      </c>
      <c r="CD1931">
        <v>6012</v>
      </c>
      <c r="CE1931" t="s">
        <v>147</v>
      </c>
      <c r="CF1931" s="3">
        <v>45950</v>
      </c>
      <c r="CI1931">
        <v>1</v>
      </c>
      <c r="CJ1931">
        <v>1</v>
      </c>
      <c r="CK1931">
        <v>21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"080068583685"</f>
        <v>080068583685</v>
      </c>
      <c r="F1932" s="3">
        <v>45947</v>
      </c>
      <c r="G1932">
        <v>202607</v>
      </c>
      <c r="H1932" t="s">
        <v>79</v>
      </c>
      <c r="I1932" t="s">
        <v>80</v>
      </c>
      <c r="J1932" t="s">
        <v>91</v>
      </c>
      <c r="K1932" t="s">
        <v>78</v>
      </c>
      <c r="L1932" t="s">
        <v>114</v>
      </c>
      <c r="M1932" t="s">
        <v>115</v>
      </c>
      <c r="N1932" t="s">
        <v>1014</v>
      </c>
      <c r="O1932" t="s">
        <v>82</v>
      </c>
      <c r="P1932" t="str">
        <f>"4170064702                    "</f>
        <v xml:space="preserve">4170064702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22.36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70.959999999999994</v>
      </c>
      <c r="BM1932">
        <v>10.64</v>
      </c>
      <c r="BN1932">
        <v>81.599999999999994</v>
      </c>
      <c r="BO1932">
        <v>81.599999999999994</v>
      </c>
      <c r="BQ1932" t="s">
        <v>1015</v>
      </c>
      <c r="BR1932" t="s">
        <v>97</v>
      </c>
      <c r="BS1932" s="3">
        <v>45950</v>
      </c>
      <c r="BT1932" s="4">
        <v>0.45833333333333331</v>
      </c>
      <c r="BU1932" t="s">
        <v>2655</v>
      </c>
      <c r="BV1932" t="s">
        <v>90</v>
      </c>
      <c r="BY1932">
        <v>1200</v>
      </c>
      <c r="CA1932" t="s">
        <v>1017</v>
      </c>
      <c r="CC1932" t="s">
        <v>115</v>
      </c>
      <c r="CD1932">
        <v>5200</v>
      </c>
      <c r="CE1932" t="s">
        <v>147</v>
      </c>
      <c r="CF1932" s="3">
        <v>45950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"080068583706"</f>
        <v>080068583706</v>
      </c>
      <c r="F1933" s="3">
        <v>45947</v>
      </c>
      <c r="G1933">
        <v>202607</v>
      </c>
      <c r="H1933" t="s">
        <v>79</v>
      </c>
      <c r="I1933" t="s">
        <v>80</v>
      </c>
      <c r="J1933" t="s">
        <v>91</v>
      </c>
      <c r="K1933" t="s">
        <v>78</v>
      </c>
      <c r="L1933" t="s">
        <v>530</v>
      </c>
      <c r="M1933" t="s">
        <v>531</v>
      </c>
      <c r="N1933" t="s">
        <v>532</v>
      </c>
      <c r="O1933" t="s">
        <v>82</v>
      </c>
      <c r="P1933" t="str">
        <f>"4170064732                    "</f>
        <v xml:space="preserve">4170064732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43.31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2</v>
      </c>
      <c r="BJ1933">
        <v>1.1000000000000001</v>
      </c>
      <c r="BK1933">
        <v>2</v>
      </c>
      <c r="BL1933">
        <v>137.47</v>
      </c>
      <c r="BM1933">
        <v>20.62</v>
      </c>
      <c r="BN1933">
        <v>158.09</v>
      </c>
      <c r="BO1933">
        <v>158.09</v>
      </c>
      <c r="BQ1933" t="s">
        <v>533</v>
      </c>
      <c r="BR1933" t="s">
        <v>97</v>
      </c>
      <c r="BS1933" s="3">
        <v>45950</v>
      </c>
      <c r="BT1933" s="4">
        <v>0.52013888888888893</v>
      </c>
      <c r="BU1933" t="s">
        <v>2656</v>
      </c>
      <c r="BV1933" t="s">
        <v>86</v>
      </c>
      <c r="BY1933">
        <v>5510</v>
      </c>
      <c r="CA1933" t="s">
        <v>535</v>
      </c>
      <c r="CC1933" t="s">
        <v>531</v>
      </c>
      <c r="CD1933">
        <v>6850</v>
      </c>
      <c r="CE1933" t="s">
        <v>191</v>
      </c>
      <c r="CF1933" s="3">
        <v>45951</v>
      </c>
      <c r="CI1933">
        <v>2</v>
      </c>
      <c r="CJ1933">
        <v>1</v>
      </c>
      <c r="CK1933">
        <v>23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"080068583777"</f>
        <v>080068583777</v>
      </c>
      <c r="F1934" s="3">
        <v>45947</v>
      </c>
      <c r="G1934">
        <v>202607</v>
      </c>
      <c r="H1934" t="s">
        <v>79</v>
      </c>
      <c r="I1934" t="s">
        <v>80</v>
      </c>
      <c r="J1934" t="s">
        <v>91</v>
      </c>
      <c r="K1934" t="s">
        <v>78</v>
      </c>
      <c r="L1934" t="s">
        <v>542</v>
      </c>
      <c r="M1934" t="s">
        <v>543</v>
      </c>
      <c r="N1934" t="s">
        <v>1554</v>
      </c>
      <c r="O1934" t="s">
        <v>95</v>
      </c>
      <c r="P1934" t="str">
        <f>"4170064776                    "</f>
        <v xml:space="preserve">4170064776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33.36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10</v>
      </c>
      <c r="BJ1934">
        <v>5.4</v>
      </c>
      <c r="BK1934">
        <v>10</v>
      </c>
      <c r="BL1934">
        <v>111.75</v>
      </c>
      <c r="BM1934">
        <v>16.760000000000002</v>
      </c>
      <c r="BN1934">
        <v>128.51</v>
      </c>
      <c r="BO1934">
        <v>128.51</v>
      </c>
      <c r="BQ1934" t="s">
        <v>1555</v>
      </c>
      <c r="BR1934" t="s">
        <v>97</v>
      </c>
      <c r="BS1934" s="3">
        <v>45950</v>
      </c>
      <c r="BT1934" s="4">
        <v>0.65972222222222221</v>
      </c>
      <c r="BU1934" t="s">
        <v>165</v>
      </c>
      <c r="BV1934" t="s">
        <v>86</v>
      </c>
      <c r="BY1934">
        <v>27144</v>
      </c>
      <c r="CA1934" t="s">
        <v>547</v>
      </c>
      <c r="CC1934" t="s">
        <v>543</v>
      </c>
      <c r="CD1934">
        <v>1684</v>
      </c>
      <c r="CE1934" t="s">
        <v>931</v>
      </c>
      <c r="CF1934" s="3">
        <v>45952</v>
      </c>
      <c r="CI1934">
        <v>1</v>
      </c>
      <c r="CJ1934">
        <v>1</v>
      </c>
      <c r="CK1934">
        <v>42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"080068583826"</f>
        <v>080068583826</v>
      </c>
      <c r="F1935" s="3">
        <v>45947</v>
      </c>
      <c r="G1935">
        <v>202607</v>
      </c>
      <c r="H1935" t="s">
        <v>79</v>
      </c>
      <c r="I1935" t="s">
        <v>80</v>
      </c>
      <c r="J1935" t="s">
        <v>91</v>
      </c>
      <c r="K1935" t="s">
        <v>78</v>
      </c>
      <c r="L1935" t="s">
        <v>1765</v>
      </c>
      <c r="M1935" t="s">
        <v>1766</v>
      </c>
      <c r="N1935" t="s">
        <v>2657</v>
      </c>
      <c r="O1935" t="s">
        <v>95</v>
      </c>
      <c r="P1935" t="str">
        <f>"4170064528                    "</f>
        <v xml:space="preserve">4170064528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406.65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61</v>
      </c>
      <c r="BJ1935">
        <v>125.5</v>
      </c>
      <c r="BK1935">
        <v>126</v>
      </c>
      <c r="BL1935">
        <v>1296.54</v>
      </c>
      <c r="BM1935">
        <v>194.48</v>
      </c>
      <c r="BN1935">
        <v>1491.02</v>
      </c>
      <c r="BO1935">
        <v>1491.02</v>
      </c>
      <c r="BQ1935" t="s">
        <v>2658</v>
      </c>
      <c r="BR1935" t="s">
        <v>97</v>
      </c>
      <c r="BS1935" t="s">
        <v>2659</v>
      </c>
      <c r="BY1935">
        <v>627669</v>
      </c>
      <c r="CC1935" t="s">
        <v>1766</v>
      </c>
      <c r="CD1935">
        <v>1050</v>
      </c>
      <c r="CE1935" t="s">
        <v>1122</v>
      </c>
      <c r="CF1935" s="3">
        <v>45951</v>
      </c>
      <c r="CI1935">
        <v>1</v>
      </c>
      <c r="CJ1935" t="s">
        <v>2659</v>
      </c>
      <c r="CK1935">
        <v>43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"080068583848"</f>
        <v>080068583848</v>
      </c>
      <c r="F1936" s="3">
        <v>45947</v>
      </c>
      <c r="G1936">
        <v>202607</v>
      </c>
      <c r="H1936" t="s">
        <v>79</v>
      </c>
      <c r="I1936" t="s">
        <v>80</v>
      </c>
      <c r="J1936" t="s">
        <v>91</v>
      </c>
      <c r="K1936" t="s">
        <v>78</v>
      </c>
      <c r="L1936" t="s">
        <v>92</v>
      </c>
      <c r="M1936" t="s">
        <v>93</v>
      </c>
      <c r="N1936" t="s">
        <v>601</v>
      </c>
      <c r="O1936" t="s">
        <v>82</v>
      </c>
      <c r="P1936" t="str">
        <f>"4170064707                    "</f>
        <v xml:space="preserve">4170064707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55.86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5</v>
      </c>
      <c r="BJ1936">
        <v>0.7</v>
      </c>
      <c r="BK1936">
        <v>5</v>
      </c>
      <c r="BL1936">
        <v>177.3</v>
      </c>
      <c r="BM1936">
        <v>26.6</v>
      </c>
      <c r="BN1936">
        <v>203.9</v>
      </c>
      <c r="BO1936">
        <v>203.9</v>
      </c>
      <c r="BQ1936" t="s">
        <v>602</v>
      </c>
      <c r="BR1936" t="s">
        <v>97</v>
      </c>
      <c r="BS1936" s="3">
        <v>45950</v>
      </c>
      <c r="BT1936" s="4">
        <v>0.47083333333333333</v>
      </c>
      <c r="BU1936" t="s">
        <v>1700</v>
      </c>
      <c r="BV1936" t="s">
        <v>86</v>
      </c>
      <c r="BY1936">
        <v>3306</v>
      </c>
      <c r="CA1936" t="s">
        <v>146</v>
      </c>
      <c r="CC1936" t="s">
        <v>93</v>
      </c>
      <c r="CD1936">
        <v>3212</v>
      </c>
      <c r="CE1936" t="s">
        <v>191</v>
      </c>
      <c r="CF1936" s="3">
        <v>45950</v>
      </c>
      <c r="CI1936">
        <v>2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"080068583961"</f>
        <v>080068583961</v>
      </c>
      <c r="F1937" s="3">
        <v>45947</v>
      </c>
      <c r="G1937">
        <v>202607</v>
      </c>
      <c r="H1937" t="s">
        <v>79</v>
      </c>
      <c r="I1937" t="s">
        <v>80</v>
      </c>
      <c r="J1937" t="s">
        <v>91</v>
      </c>
      <c r="K1937" t="s">
        <v>78</v>
      </c>
      <c r="L1937" t="s">
        <v>469</v>
      </c>
      <c r="M1937" t="s">
        <v>470</v>
      </c>
      <c r="N1937" t="s">
        <v>471</v>
      </c>
      <c r="O1937" t="s">
        <v>82</v>
      </c>
      <c r="P1937" t="str">
        <f>"4170064746                    "</f>
        <v xml:space="preserve">4170064746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43.31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137.47</v>
      </c>
      <c r="BM1937">
        <v>20.62</v>
      </c>
      <c r="BN1937">
        <v>158.09</v>
      </c>
      <c r="BO1937">
        <v>158.09</v>
      </c>
      <c r="BQ1937" t="s">
        <v>472</v>
      </c>
      <c r="BR1937" t="s">
        <v>97</v>
      </c>
      <c r="BS1937" s="3">
        <v>45950</v>
      </c>
      <c r="BT1937" s="4">
        <v>0.51666666666666672</v>
      </c>
      <c r="BU1937" t="s">
        <v>2617</v>
      </c>
      <c r="BV1937" t="s">
        <v>86</v>
      </c>
      <c r="BY1937">
        <v>1200</v>
      </c>
      <c r="CA1937" t="s">
        <v>2618</v>
      </c>
      <c r="CC1937" t="s">
        <v>470</v>
      </c>
      <c r="CD1937">
        <v>7299</v>
      </c>
      <c r="CE1937" t="s">
        <v>147</v>
      </c>
      <c r="CF1937" s="3">
        <v>45951</v>
      </c>
      <c r="CI1937">
        <v>1</v>
      </c>
      <c r="CJ1937">
        <v>1</v>
      </c>
      <c r="CK1937">
        <v>23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"080068584002"</f>
        <v>080068584002</v>
      </c>
      <c r="F1938" s="3">
        <v>45947</v>
      </c>
      <c r="G1938">
        <v>202607</v>
      </c>
      <c r="H1938" t="s">
        <v>79</v>
      </c>
      <c r="I1938" t="s">
        <v>80</v>
      </c>
      <c r="J1938" t="s">
        <v>91</v>
      </c>
      <c r="K1938" t="s">
        <v>78</v>
      </c>
      <c r="L1938" t="s">
        <v>114</v>
      </c>
      <c r="M1938" t="s">
        <v>115</v>
      </c>
      <c r="N1938" t="s">
        <v>746</v>
      </c>
      <c r="O1938" t="s">
        <v>82</v>
      </c>
      <c r="P1938" t="str">
        <f>"4170064790                    "</f>
        <v xml:space="preserve">4170064790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22.36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70.959999999999994</v>
      </c>
      <c r="BM1938">
        <v>10.64</v>
      </c>
      <c r="BN1938">
        <v>81.599999999999994</v>
      </c>
      <c r="BO1938">
        <v>81.599999999999994</v>
      </c>
      <c r="BQ1938" t="s">
        <v>747</v>
      </c>
      <c r="BR1938" t="s">
        <v>97</v>
      </c>
      <c r="BS1938" s="3">
        <v>45950</v>
      </c>
      <c r="BT1938" s="4">
        <v>0.44374999999999998</v>
      </c>
      <c r="BU1938" t="s">
        <v>2640</v>
      </c>
      <c r="BV1938" t="s">
        <v>90</v>
      </c>
      <c r="BY1938">
        <v>1200</v>
      </c>
      <c r="CA1938" t="s">
        <v>749</v>
      </c>
      <c r="CC1938" t="s">
        <v>115</v>
      </c>
      <c r="CD1938">
        <v>5200</v>
      </c>
      <c r="CE1938" t="s">
        <v>147</v>
      </c>
      <c r="CF1938" s="3">
        <v>45951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"080068584023"</f>
        <v>080068584023</v>
      </c>
      <c r="F1939" s="3">
        <v>45947</v>
      </c>
      <c r="G1939">
        <v>202607</v>
      </c>
      <c r="H1939" t="s">
        <v>79</v>
      </c>
      <c r="I1939" t="s">
        <v>80</v>
      </c>
      <c r="J1939" t="s">
        <v>91</v>
      </c>
      <c r="K1939" t="s">
        <v>78</v>
      </c>
      <c r="L1939" t="s">
        <v>206</v>
      </c>
      <c r="M1939" t="s">
        <v>207</v>
      </c>
      <c r="N1939" t="s">
        <v>2660</v>
      </c>
      <c r="O1939" t="s">
        <v>82</v>
      </c>
      <c r="P1939" t="str">
        <f>"4170064793                    "</f>
        <v xml:space="preserve">4170064793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22.36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70.959999999999994</v>
      </c>
      <c r="BM1939">
        <v>10.64</v>
      </c>
      <c r="BN1939">
        <v>81.599999999999994</v>
      </c>
      <c r="BO1939">
        <v>81.599999999999994</v>
      </c>
      <c r="BQ1939" t="s">
        <v>2661</v>
      </c>
      <c r="BR1939" t="s">
        <v>97</v>
      </c>
      <c r="BS1939" s="3">
        <v>45950</v>
      </c>
      <c r="BT1939" s="4">
        <v>0.37916666666666665</v>
      </c>
      <c r="BU1939" t="s">
        <v>2662</v>
      </c>
      <c r="BV1939" t="s">
        <v>86</v>
      </c>
      <c r="BY1939">
        <v>1200</v>
      </c>
      <c r="CA1939" t="s">
        <v>480</v>
      </c>
      <c r="CC1939" t="s">
        <v>207</v>
      </c>
      <c r="CD1939">
        <v>7460</v>
      </c>
      <c r="CE1939" t="s">
        <v>147</v>
      </c>
      <c r="CF1939" s="3">
        <v>45951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"080068584039"</f>
        <v>080068584039</v>
      </c>
      <c r="F1940" s="3">
        <v>45947</v>
      </c>
      <c r="G1940">
        <v>202607</v>
      </c>
      <c r="H1940" t="s">
        <v>79</v>
      </c>
      <c r="I1940" t="s">
        <v>80</v>
      </c>
      <c r="J1940" t="s">
        <v>91</v>
      </c>
      <c r="K1940" t="s">
        <v>78</v>
      </c>
      <c r="L1940" t="s">
        <v>168</v>
      </c>
      <c r="M1940" t="s">
        <v>169</v>
      </c>
      <c r="N1940" t="s">
        <v>2663</v>
      </c>
      <c r="O1940" t="s">
        <v>82</v>
      </c>
      <c r="P1940" t="str">
        <f>"4170064748                    "</f>
        <v xml:space="preserve">4170064748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22.36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0.2</v>
      </c>
      <c r="BJ1940">
        <v>1.1000000000000001</v>
      </c>
      <c r="BK1940">
        <v>1.5</v>
      </c>
      <c r="BL1940">
        <v>70.959999999999994</v>
      </c>
      <c r="BM1940">
        <v>10.64</v>
      </c>
      <c r="BN1940">
        <v>81.599999999999994</v>
      </c>
      <c r="BO1940">
        <v>81.599999999999994</v>
      </c>
      <c r="BQ1940" t="s">
        <v>2664</v>
      </c>
      <c r="BR1940" t="s">
        <v>97</v>
      </c>
      <c r="BS1940" s="3">
        <v>45950</v>
      </c>
      <c r="BT1940" s="4">
        <v>0.39513888888888887</v>
      </c>
      <c r="BU1940" t="s">
        <v>2665</v>
      </c>
      <c r="BV1940" t="s">
        <v>86</v>
      </c>
      <c r="BY1940">
        <v>5501.36</v>
      </c>
      <c r="CA1940">
        <v>9501025667088</v>
      </c>
      <c r="CC1940" t="s">
        <v>169</v>
      </c>
      <c r="CD1940" s="5" t="s">
        <v>2666</v>
      </c>
      <c r="CE1940" t="s">
        <v>191</v>
      </c>
      <c r="CF1940" s="3">
        <v>45950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"080068584065"</f>
        <v>080068584065</v>
      </c>
      <c r="F1941" s="3">
        <v>45947</v>
      </c>
      <c r="G1941">
        <v>202607</v>
      </c>
      <c r="H1941" t="s">
        <v>79</v>
      </c>
      <c r="I1941" t="s">
        <v>80</v>
      </c>
      <c r="J1941" t="s">
        <v>91</v>
      </c>
      <c r="K1941" t="s">
        <v>78</v>
      </c>
      <c r="L1941" t="s">
        <v>453</v>
      </c>
      <c r="M1941" t="s">
        <v>454</v>
      </c>
      <c r="N1941" t="s">
        <v>581</v>
      </c>
      <c r="O1941" t="s">
        <v>82</v>
      </c>
      <c r="P1941" t="str">
        <f>"4170064700                    "</f>
        <v xml:space="preserve">4170064700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22.36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1.1000000000000001</v>
      </c>
      <c r="BK1941">
        <v>1.5</v>
      </c>
      <c r="BL1941">
        <v>70.959999999999994</v>
      </c>
      <c r="BM1941">
        <v>10.64</v>
      </c>
      <c r="BN1941">
        <v>81.599999999999994</v>
      </c>
      <c r="BO1941">
        <v>81.599999999999994</v>
      </c>
      <c r="BQ1941" t="s">
        <v>582</v>
      </c>
      <c r="BR1941" t="s">
        <v>97</v>
      </c>
      <c r="BS1941" s="3">
        <v>45950</v>
      </c>
      <c r="BT1941" s="4">
        <v>0.375</v>
      </c>
      <c r="BU1941" t="s">
        <v>583</v>
      </c>
      <c r="BV1941" t="s">
        <v>86</v>
      </c>
      <c r="BY1941">
        <v>5320</v>
      </c>
      <c r="CA1941" t="s">
        <v>742</v>
      </c>
      <c r="CC1941" t="s">
        <v>454</v>
      </c>
      <c r="CD1941">
        <v>3610</v>
      </c>
      <c r="CE1941" t="s">
        <v>191</v>
      </c>
      <c r="CF1941" s="3">
        <v>45950</v>
      </c>
      <c r="CI1941">
        <v>1</v>
      </c>
      <c r="CJ1941">
        <v>1</v>
      </c>
      <c r="CK1941">
        <v>21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"080068584070"</f>
        <v>080068584070</v>
      </c>
      <c r="F1942" s="3">
        <v>45947</v>
      </c>
      <c r="G1942">
        <v>202607</v>
      </c>
      <c r="H1942" t="s">
        <v>79</v>
      </c>
      <c r="I1942" t="s">
        <v>80</v>
      </c>
      <c r="J1942" t="s">
        <v>91</v>
      </c>
      <c r="K1942" t="s">
        <v>78</v>
      </c>
      <c r="L1942" t="s">
        <v>265</v>
      </c>
      <c r="M1942" t="s">
        <v>266</v>
      </c>
      <c r="N1942" t="s">
        <v>536</v>
      </c>
      <c r="O1942" t="s">
        <v>95</v>
      </c>
      <c r="P1942" t="str">
        <f>"4170064806                    "</f>
        <v xml:space="preserve">4170064806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48.59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11</v>
      </c>
      <c r="BJ1942">
        <v>17.7</v>
      </c>
      <c r="BK1942">
        <v>18</v>
      </c>
      <c r="BL1942">
        <v>160.08000000000001</v>
      </c>
      <c r="BM1942">
        <v>24.01</v>
      </c>
      <c r="BN1942">
        <v>184.09</v>
      </c>
      <c r="BO1942">
        <v>184.09</v>
      </c>
      <c r="BQ1942" t="s">
        <v>537</v>
      </c>
      <c r="BR1942" t="s">
        <v>97</v>
      </c>
      <c r="BS1942" s="3">
        <v>45950</v>
      </c>
      <c r="BT1942" s="4">
        <v>0.36527777777777776</v>
      </c>
      <c r="BU1942" t="s">
        <v>817</v>
      </c>
      <c r="BV1942" t="s">
        <v>86</v>
      </c>
      <c r="BY1942">
        <v>88320</v>
      </c>
      <c r="CA1942" t="s">
        <v>818</v>
      </c>
      <c r="CC1942" t="s">
        <v>266</v>
      </c>
      <c r="CD1942">
        <v>6230</v>
      </c>
      <c r="CE1942" t="s">
        <v>191</v>
      </c>
      <c r="CF1942" s="3">
        <v>45950</v>
      </c>
      <c r="CI1942">
        <v>3</v>
      </c>
      <c r="CJ1942">
        <v>1</v>
      </c>
      <c r="CK1942">
        <v>41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"080068584207"</f>
        <v>080068584207</v>
      </c>
      <c r="F1943" s="3">
        <v>45947</v>
      </c>
      <c r="G1943">
        <v>202607</v>
      </c>
      <c r="H1943" t="s">
        <v>79</v>
      </c>
      <c r="I1943" t="s">
        <v>80</v>
      </c>
      <c r="J1943" t="s">
        <v>91</v>
      </c>
      <c r="K1943" t="s">
        <v>78</v>
      </c>
      <c r="L1943" t="s">
        <v>206</v>
      </c>
      <c r="M1943" t="s">
        <v>207</v>
      </c>
      <c r="N1943" t="s">
        <v>2572</v>
      </c>
      <c r="O1943" t="s">
        <v>82</v>
      </c>
      <c r="P1943" t="str">
        <f>"4170064695                    "</f>
        <v xml:space="preserve">4170064695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39.11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3</v>
      </c>
      <c r="BJ1943">
        <v>3.5</v>
      </c>
      <c r="BK1943">
        <v>3.5</v>
      </c>
      <c r="BL1943">
        <v>124.13</v>
      </c>
      <c r="BM1943">
        <v>18.62</v>
      </c>
      <c r="BN1943">
        <v>142.75</v>
      </c>
      <c r="BO1943">
        <v>142.75</v>
      </c>
      <c r="BQ1943" t="s">
        <v>2573</v>
      </c>
      <c r="BR1943" t="s">
        <v>97</v>
      </c>
      <c r="BS1943" s="3">
        <v>45950</v>
      </c>
      <c r="BT1943" s="4">
        <v>0.37986111111111109</v>
      </c>
      <c r="BU1943" t="s">
        <v>2667</v>
      </c>
      <c r="BV1943" t="s">
        <v>86</v>
      </c>
      <c r="BY1943">
        <v>17640</v>
      </c>
      <c r="CA1943" t="s">
        <v>770</v>
      </c>
      <c r="CC1943" t="s">
        <v>207</v>
      </c>
      <c r="CD1943">
        <v>7441</v>
      </c>
      <c r="CE1943" t="s">
        <v>107</v>
      </c>
      <c r="CF1943" s="3">
        <v>45951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"080068584225"</f>
        <v>080068584225</v>
      </c>
      <c r="F1944" s="3">
        <v>45947</v>
      </c>
      <c r="G1944">
        <v>202607</v>
      </c>
      <c r="H1944" t="s">
        <v>79</v>
      </c>
      <c r="I1944" t="s">
        <v>80</v>
      </c>
      <c r="J1944" t="s">
        <v>91</v>
      </c>
      <c r="K1944" t="s">
        <v>78</v>
      </c>
      <c r="L1944" t="s">
        <v>453</v>
      </c>
      <c r="M1944" t="s">
        <v>454</v>
      </c>
      <c r="N1944" t="s">
        <v>639</v>
      </c>
      <c r="O1944" t="s">
        <v>82</v>
      </c>
      <c r="P1944" t="str">
        <f>"4170064758                    "</f>
        <v xml:space="preserve">4170064758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100.54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6</v>
      </c>
      <c r="BJ1944">
        <v>8.9</v>
      </c>
      <c r="BK1944">
        <v>9</v>
      </c>
      <c r="BL1944">
        <v>319.10000000000002</v>
      </c>
      <c r="BM1944">
        <v>47.87</v>
      </c>
      <c r="BN1944">
        <v>366.97</v>
      </c>
      <c r="BO1944">
        <v>366.97</v>
      </c>
      <c r="BQ1944" t="s">
        <v>640</v>
      </c>
      <c r="BR1944" t="s">
        <v>97</v>
      </c>
      <c r="BS1944" s="3">
        <v>45950</v>
      </c>
      <c r="BT1944" s="4">
        <v>0.60624999999999996</v>
      </c>
      <c r="BU1944" t="s">
        <v>2620</v>
      </c>
      <c r="BV1944" t="s">
        <v>90</v>
      </c>
      <c r="BW1944" t="s">
        <v>136</v>
      </c>
      <c r="BX1944" t="s">
        <v>137</v>
      </c>
      <c r="BY1944">
        <v>44640</v>
      </c>
      <c r="CA1944" t="s">
        <v>742</v>
      </c>
      <c r="CC1944" t="s">
        <v>454</v>
      </c>
      <c r="CD1944">
        <v>3610</v>
      </c>
      <c r="CE1944" t="s">
        <v>191</v>
      </c>
      <c r="CF1944" s="3">
        <v>45950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"080068584546"</f>
        <v>080068584546</v>
      </c>
      <c r="F1945" s="3">
        <v>45947</v>
      </c>
      <c r="G1945">
        <v>202607</v>
      </c>
      <c r="H1945" t="s">
        <v>79</v>
      </c>
      <c r="I1945" t="s">
        <v>80</v>
      </c>
      <c r="J1945" t="s">
        <v>91</v>
      </c>
      <c r="K1945" t="s">
        <v>78</v>
      </c>
      <c r="L1945" t="s">
        <v>114</v>
      </c>
      <c r="M1945" t="s">
        <v>115</v>
      </c>
      <c r="N1945" t="s">
        <v>881</v>
      </c>
      <c r="O1945" t="s">
        <v>82</v>
      </c>
      <c r="P1945" t="str">
        <f>"4170064803                    "</f>
        <v xml:space="preserve">4170064803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22.36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70.959999999999994</v>
      </c>
      <c r="BM1945">
        <v>10.64</v>
      </c>
      <c r="BN1945">
        <v>81.599999999999994</v>
      </c>
      <c r="BO1945">
        <v>81.599999999999994</v>
      </c>
      <c r="BQ1945" t="s">
        <v>882</v>
      </c>
      <c r="BR1945" t="s">
        <v>97</v>
      </c>
      <c r="BS1945" s="3">
        <v>45950</v>
      </c>
      <c r="BT1945" s="4">
        <v>0.40069444444444446</v>
      </c>
      <c r="BU1945" t="s">
        <v>883</v>
      </c>
      <c r="BV1945" t="s">
        <v>86</v>
      </c>
      <c r="BY1945">
        <v>1200</v>
      </c>
      <c r="CA1945" t="s">
        <v>749</v>
      </c>
      <c r="CC1945" t="s">
        <v>115</v>
      </c>
      <c r="CD1945">
        <v>5201</v>
      </c>
      <c r="CE1945" t="s">
        <v>147</v>
      </c>
      <c r="CF1945" s="3">
        <v>45951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"080068584548"</f>
        <v>080068584548</v>
      </c>
      <c r="F1946" s="3">
        <v>45947</v>
      </c>
      <c r="G1946">
        <v>202607</v>
      </c>
      <c r="H1946" t="s">
        <v>79</v>
      </c>
      <c r="I1946" t="s">
        <v>80</v>
      </c>
      <c r="J1946" t="s">
        <v>91</v>
      </c>
      <c r="K1946" t="s">
        <v>78</v>
      </c>
      <c r="L1946" t="s">
        <v>108</v>
      </c>
      <c r="M1946" t="s">
        <v>109</v>
      </c>
      <c r="N1946" t="s">
        <v>291</v>
      </c>
      <c r="O1946" t="s">
        <v>82</v>
      </c>
      <c r="P1946" t="str">
        <f>"4170064721                    "</f>
        <v xml:space="preserve">4170064721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22.36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1.9</v>
      </c>
      <c r="BK1946">
        <v>2</v>
      </c>
      <c r="BL1946">
        <v>70.959999999999994</v>
      </c>
      <c r="BM1946">
        <v>10.64</v>
      </c>
      <c r="BN1946">
        <v>81.599999999999994</v>
      </c>
      <c r="BO1946">
        <v>81.599999999999994</v>
      </c>
      <c r="BQ1946" t="s">
        <v>292</v>
      </c>
      <c r="BR1946" t="s">
        <v>97</v>
      </c>
      <c r="BS1946" s="3">
        <v>45950</v>
      </c>
      <c r="BT1946" s="4">
        <v>0.3576388888888889</v>
      </c>
      <c r="BU1946" t="s">
        <v>293</v>
      </c>
      <c r="BV1946" t="s">
        <v>86</v>
      </c>
      <c r="BY1946">
        <v>9600</v>
      </c>
      <c r="CA1946" t="s">
        <v>294</v>
      </c>
      <c r="CC1946" t="s">
        <v>109</v>
      </c>
      <c r="CD1946">
        <v>6001</v>
      </c>
      <c r="CE1946" t="s">
        <v>191</v>
      </c>
      <c r="CF1946" s="3">
        <v>45950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"080068584569"</f>
        <v>080068584569</v>
      </c>
      <c r="F1947" s="3">
        <v>45947</v>
      </c>
      <c r="G1947">
        <v>202607</v>
      </c>
      <c r="H1947" t="s">
        <v>79</v>
      </c>
      <c r="I1947" t="s">
        <v>80</v>
      </c>
      <c r="J1947" t="s">
        <v>91</v>
      </c>
      <c r="K1947" t="s">
        <v>78</v>
      </c>
      <c r="L1947" t="s">
        <v>233</v>
      </c>
      <c r="M1947" t="s">
        <v>234</v>
      </c>
      <c r="N1947" t="s">
        <v>1066</v>
      </c>
      <c r="O1947" t="s">
        <v>82</v>
      </c>
      <c r="P1947" t="str">
        <f>"4170064765                    "</f>
        <v xml:space="preserve">4170064765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22.36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70.959999999999994</v>
      </c>
      <c r="BM1947">
        <v>10.64</v>
      </c>
      <c r="BN1947">
        <v>81.599999999999994</v>
      </c>
      <c r="BO1947">
        <v>81.599999999999994</v>
      </c>
      <c r="BQ1947" t="s">
        <v>1067</v>
      </c>
      <c r="BR1947" t="s">
        <v>97</v>
      </c>
      <c r="BS1947" s="3">
        <v>45950</v>
      </c>
      <c r="BT1947" s="4">
        <v>0.33958333333333335</v>
      </c>
      <c r="BU1947" t="s">
        <v>2268</v>
      </c>
      <c r="BV1947" t="s">
        <v>86</v>
      </c>
      <c r="BY1947">
        <v>1200</v>
      </c>
      <c r="CA1947">
        <v>7104145194083</v>
      </c>
      <c r="CC1947" t="s">
        <v>234</v>
      </c>
      <c r="CD1947" s="5" t="s">
        <v>238</v>
      </c>
      <c r="CE1947" t="s">
        <v>147</v>
      </c>
      <c r="CF1947" s="3">
        <v>45950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"080068584574"</f>
        <v>080068584574</v>
      </c>
      <c r="F1948" s="3">
        <v>45947</v>
      </c>
      <c r="G1948">
        <v>202607</v>
      </c>
      <c r="H1948" t="s">
        <v>79</v>
      </c>
      <c r="I1948" t="s">
        <v>80</v>
      </c>
      <c r="J1948" t="s">
        <v>91</v>
      </c>
      <c r="K1948" t="s">
        <v>78</v>
      </c>
      <c r="L1948" t="s">
        <v>265</v>
      </c>
      <c r="M1948" t="s">
        <v>266</v>
      </c>
      <c r="N1948" t="s">
        <v>1033</v>
      </c>
      <c r="O1948" t="s">
        <v>82</v>
      </c>
      <c r="P1948" t="str">
        <f>"4170064750                    "</f>
        <v xml:space="preserve">4170064750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22.36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70.959999999999994</v>
      </c>
      <c r="BM1948">
        <v>10.64</v>
      </c>
      <c r="BN1948">
        <v>81.599999999999994</v>
      </c>
      <c r="BO1948">
        <v>81.599999999999994</v>
      </c>
      <c r="BQ1948" t="s">
        <v>1034</v>
      </c>
      <c r="BR1948" t="s">
        <v>97</v>
      </c>
      <c r="BS1948" s="3">
        <v>45950</v>
      </c>
      <c r="BT1948" s="4">
        <v>0.33333333333333331</v>
      </c>
      <c r="BU1948" t="s">
        <v>1035</v>
      </c>
      <c r="BV1948" t="s">
        <v>86</v>
      </c>
      <c r="BY1948">
        <v>1200</v>
      </c>
      <c r="CA1948" t="s">
        <v>818</v>
      </c>
      <c r="CC1948" t="s">
        <v>266</v>
      </c>
      <c r="CD1948">
        <v>6230</v>
      </c>
      <c r="CE1948" t="s">
        <v>147</v>
      </c>
      <c r="CF1948" s="3">
        <v>45950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"080068584575"</f>
        <v>080068584575</v>
      </c>
      <c r="F1949" s="3">
        <v>45947</v>
      </c>
      <c r="G1949">
        <v>202607</v>
      </c>
      <c r="H1949" t="s">
        <v>79</v>
      </c>
      <c r="I1949" t="s">
        <v>80</v>
      </c>
      <c r="J1949" t="s">
        <v>91</v>
      </c>
      <c r="K1949" t="s">
        <v>78</v>
      </c>
      <c r="L1949" t="s">
        <v>168</v>
      </c>
      <c r="M1949" t="s">
        <v>169</v>
      </c>
      <c r="N1949" t="s">
        <v>584</v>
      </c>
      <c r="O1949" t="s">
        <v>82</v>
      </c>
      <c r="P1949" t="str">
        <f>"4170064704                    "</f>
        <v xml:space="preserve">4170064704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22.36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1.1000000000000001</v>
      </c>
      <c r="BK1949">
        <v>1.5</v>
      </c>
      <c r="BL1949">
        <v>70.959999999999994</v>
      </c>
      <c r="BM1949">
        <v>10.64</v>
      </c>
      <c r="BN1949">
        <v>81.599999999999994</v>
      </c>
      <c r="BO1949">
        <v>81.599999999999994</v>
      </c>
      <c r="BQ1949" t="s">
        <v>585</v>
      </c>
      <c r="BR1949" t="s">
        <v>97</v>
      </c>
      <c r="BS1949" s="3">
        <v>45950</v>
      </c>
      <c r="BT1949" s="4">
        <v>0.40138888888888891</v>
      </c>
      <c r="BU1949" t="s">
        <v>1159</v>
      </c>
      <c r="BV1949" t="s">
        <v>86</v>
      </c>
      <c r="BY1949">
        <v>5510</v>
      </c>
      <c r="CA1949">
        <v>8303236124087</v>
      </c>
      <c r="CC1949" t="s">
        <v>169</v>
      </c>
      <c r="CD1949" s="5" t="s">
        <v>190</v>
      </c>
      <c r="CE1949" t="s">
        <v>191</v>
      </c>
      <c r="CF1949" s="3">
        <v>45950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"080068584580"</f>
        <v>080068584580</v>
      </c>
      <c r="F1950" s="3">
        <v>45947</v>
      </c>
      <c r="G1950">
        <v>202607</v>
      </c>
      <c r="H1950" t="s">
        <v>79</v>
      </c>
      <c r="I1950" t="s">
        <v>80</v>
      </c>
      <c r="J1950" t="s">
        <v>91</v>
      </c>
      <c r="K1950" t="s">
        <v>78</v>
      </c>
      <c r="L1950" t="s">
        <v>265</v>
      </c>
      <c r="M1950" t="s">
        <v>266</v>
      </c>
      <c r="N1950" t="s">
        <v>2668</v>
      </c>
      <c r="O1950" t="s">
        <v>82</v>
      </c>
      <c r="P1950" t="str">
        <f>"4170064701                    "</f>
        <v xml:space="preserve">4170064701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22.36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70.959999999999994</v>
      </c>
      <c r="BM1950">
        <v>10.64</v>
      </c>
      <c r="BN1950">
        <v>81.599999999999994</v>
      </c>
      <c r="BO1950">
        <v>81.599999999999994</v>
      </c>
      <c r="BQ1950" t="s">
        <v>2669</v>
      </c>
      <c r="BR1950" t="s">
        <v>97</v>
      </c>
      <c r="BS1950" s="3">
        <v>45950</v>
      </c>
      <c r="BT1950" s="4">
        <v>0.39930555555555558</v>
      </c>
      <c r="BU1950" t="s">
        <v>2670</v>
      </c>
      <c r="BV1950" t="s">
        <v>86</v>
      </c>
      <c r="BY1950">
        <v>1200</v>
      </c>
      <c r="CA1950" t="s">
        <v>270</v>
      </c>
      <c r="CC1950" t="s">
        <v>266</v>
      </c>
      <c r="CD1950">
        <v>6229</v>
      </c>
      <c r="CE1950" t="s">
        <v>147</v>
      </c>
      <c r="CF1950" s="3">
        <v>45950</v>
      </c>
      <c r="CI1950">
        <v>1</v>
      </c>
      <c r="CJ1950">
        <v>1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"080068584589"</f>
        <v>080068584589</v>
      </c>
      <c r="F1951" s="3">
        <v>45947</v>
      </c>
      <c r="G1951">
        <v>202607</v>
      </c>
      <c r="H1951" t="s">
        <v>79</v>
      </c>
      <c r="I1951" t="s">
        <v>80</v>
      </c>
      <c r="J1951" t="s">
        <v>91</v>
      </c>
      <c r="K1951" t="s">
        <v>78</v>
      </c>
      <c r="L1951" t="s">
        <v>453</v>
      </c>
      <c r="M1951" t="s">
        <v>454</v>
      </c>
      <c r="N1951" t="s">
        <v>968</v>
      </c>
      <c r="O1951" t="s">
        <v>82</v>
      </c>
      <c r="P1951" t="str">
        <f>"4170064730                    "</f>
        <v xml:space="preserve">4170064730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22.36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70.959999999999994</v>
      </c>
      <c r="BM1951">
        <v>10.64</v>
      </c>
      <c r="BN1951">
        <v>81.599999999999994</v>
      </c>
      <c r="BO1951">
        <v>81.599999999999994</v>
      </c>
      <c r="BQ1951" t="s">
        <v>969</v>
      </c>
      <c r="BR1951" t="s">
        <v>97</v>
      </c>
      <c r="BS1951" s="3">
        <v>45950</v>
      </c>
      <c r="BT1951" s="4">
        <v>0.375</v>
      </c>
      <c r="BU1951" t="s">
        <v>1228</v>
      </c>
      <c r="BV1951" t="s">
        <v>86</v>
      </c>
      <c r="BY1951">
        <v>1200</v>
      </c>
      <c r="CA1951" t="s">
        <v>457</v>
      </c>
      <c r="CC1951" t="s">
        <v>454</v>
      </c>
      <c r="CD1951">
        <v>3600</v>
      </c>
      <c r="CE1951" t="s">
        <v>147</v>
      </c>
      <c r="CF1951" s="3">
        <v>45951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"080068584590"</f>
        <v>080068584590</v>
      </c>
      <c r="F1952" s="3">
        <v>45947</v>
      </c>
      <c r="G1952">
        <v>202607</v>
      </c>
      <c r="H1952" t="s">
        <v>79</v>
      </c>
      <c r="I1952" t="s">
        <v>80</v>
      </c>
      <c r="J1952" t="s">
        <v>91</v>
      </c>
      <c r="K1952" t="s">
        <v>78</v>
      </c>
      <c r="L1952" t="s">
        <v>206</v>
      </c>
      <c r="M1952" t="s">
        <v>207</v>
      </c>
      <c r="N1952" t="s">
        <v>427</v>
      </c>
      <c r="O1952" t="s">
        <v>82</v>
      </c>
      <c r="P1952" t="str">
        <f>"4170064720                    "</f>
        <v xml:space="preserve">4170064720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67.03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6</v>
      </c>
      <c r="BJ1952">
        <v>3.6</v>
      </c>
      <c r="BK1952">
        <v>6</v>
      </c>
      <c r="BL1952">
        <v>212.75</v>
      </c>
      <c r="BM1952">
        <v>31.91</v>
      </c>
      <c r="BN1952">
        <v>244.66</v>
      </c>
      <c r="BO1952">
        <v>244.66</v>
      </c>
      <c r="BQ1952" t="s">
        <v>428</v>
      </c>
      <c r="BR1952" t="s">
        <v>97</v>
      </c>
      <c r="BS1952" s="3">
        <v>45950</v>
      </c>
      <c r="BT1952" s="4">
        <v>0.32708333333333334</v>
      </c>
      <c r="BU1952" t="s">
        <v>2671</v>
      </c>
      <c r="BV1952" t="s">
        <v>86</v>
      </c>
      <c r="BY1952">
        <v>18096</v>
      </c>
      <c r="CA1952" t="s">
        <v>423</v>
      </c>
      <c r="CC1952" t="s">
        <v>207</v>
      </c>
      <c r="CD1952">
        <v>7530</v>
      </c>
      <c r="CE1952" t="s">
        <v>191</v>
      </c>
      <c r="CF1952" s="3">
        <v>45951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"080068584601"</f>
        <v>080068584601</v>
      </c>
      <c r="F1953" s="3">
        <v>45947</v>
      </c>
      <c r="G1953">
        <v>202607</v>
      </c>
      <c r="H1953" t="s">
        <v>79</v>
      </c>
      <c r="I1953" t="s">
        <v>80</v>
      </c>
      <c r="J1953" t="s">
        <v>91</v>
      </c>
      <c r="K1953" t="s">
        <v>78</v>
      </c>
      <c r="L1953" t="s">
        <v>121</v>
      </c>
      <c r="M1953" t="s">
        <v>122</v>
      </c>
      <c r="N1953" t="s">
        <v>328</v>
      </c>
      <c r="O1953" t="s">
        <v>82</v>
      </c>
      <c r="P1953" t="str">
        <f>"4170064807                    "</f>
        <v xml:space="preserve">4170064807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22.36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70.959999999999994</v>
      </c>
      <c r="BM1953">
        <v>10.64</v>
      </c>
      <c r="BN1953">
        <v>81.599999999999994</v>
      </c>
      <c r="BO1953">
        <v>81.599999999999994</v>
      </c>
      <c r="BQ1953" t="s">
        <v>329</v>
      </c>
      <c r="BR1953" t="s">
        <v>97</v>
      </c>
      <c r="BS1953" s="3">
        <v>45951</v>
      </c>
      <c r="BT1953" s="4">
        <v>0.53541666666666665</v>
      </c>
      <c r="BU1953" t="s">
        <v>2619</v>
      </c>
      <c r="BV1953" t="s">
        <v>90</v>
      </c>
      <c r="BW1953" t="s">
        <v>136</v>
      </c>
      <c r="BX1953" t="s">
        <v>137</v>
      </c>
      <c r="BY1953">
        <v>1200</v>
      </c>
      <c r="CA1953" t="s">
        <v>331</v>
      </c>
      <c r="CC1953" t="s">
        <v>122</v>
      </c>
      <c r="CD1953">
        <v>4052</v>
      </c>
      <c r="CE1953" t="s">
        <v>147</v>
      </c>
      <c r="CF1953" s="3">
        <v>45951</v>
      </c>
      <c r="CI1953">
        <v>1</v>
      </c>
      <c r="CJ1953">
        <v>2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"080068585349"</f>
        <v>080068585349</v>
      </c>
      <c r="F1954" s="3">
        <v>45947</v>
      </c>
      <c r="G1954">
        <v>202607</v>
      </c>
      <c r="H1954" t="s">
        <v>79</v>
      </c>
      <c r="I1954" t="s">
        <v>80</v>
      </c>
      <c r="J1954" t="s">
        <v>91</v>
      </c>
      <c r="K1954" t="s">
        <v>78</v>
      </c>
      <c r="L1954" t="s">
        <v>108</v>
      </c>
      <c r="M1954" t="s">
        <v>109</v>
      </c>
      <c r="N1954" t="s">
        <v>515</v>
      </c>
      <c r="O1954" t="s">
        <v>82</v>
      </c>
      <c r="P1954" t="str">
        <f>"4170064794                    "</f>
        <v xml:space="preserve">4170064794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22.36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70.959999999999994</v>
      </c>
      <c r="BM1954">
        <v>10.64</v>
      </c>
      <c r="BN1954">
        <v>81.599999999999994</v>
      </c>
      <c r="BO1954">
        <v>81.599999999999994</v>
      </c>
      <c r="BQ1954" t="s">
        <v>516</v>
      </c>
      <c r="BR1954" t="s">
        <v>97</v>
      </c>
      <c r="BS1954" s="3">
        <v>45950</v>
      </c>
      <c r="BT1954" s="4">
        <v>0.42222222222222222</v>
      </c>
      <c r="BU1954" t="s">
        <v>2672</v>
      </c>
      <c r="BV1954" t="s">
        <v>86</v>
      </c>
      <c r="BY1954">
        <v>1200</v>
      </c>
      <c r="CA1954" t="s">
        <v>762</v>
      </c>
      <c r="CC1954" t="s">
        <v>109</v>
      </c>
      <c r="CD1954">
        <v>6001</v>
      </c>
      <c r="CE1954" t="s">
        <v>147</v>
      </c>
      <c r="CF1954" s="3">
        <v>45950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"080068585377"</f>
        <v>080068585377</v>
      </c>
      <c r="F1955" s="3">
        <v>45947</v>
      </c>
      <c r="G1955">
        <v>202607</v>
      </c>
      <c r="H1955" t="s">
        <v>79</v>
      </c>
      <c r="I1955" t="s">
        <v>80</v>
      </c>
      <c r="J1955" t="s">
        <v>91</v>
      </c>
      <c r="K1955" t="s">
        <v>78</v>
      </c>
      <c r="L1955" t="s">
        <v>233</v>
      </c>
      <c r="M1955" t="s">
        <v>234</v>
      </c>
      <c r="N1955" t="s">
        <v>1066</v>
      </c>
      <c r="O1955" t="s">
        <v>82</v>
      </c>
      <c r="P1955" t="str">
        <f>"4170064766                    "</f>
        <v xml:space="preserve">4170064766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22.36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70.959999999999994</v>
      </c>
      <c r="BM1955">
        <v>10.64</v>
      </c>
      <c r="BN1955">
        <v>81.599999999999994</v>
      </c>
      <c r="BO1955">
        <v>81.599999999999994</v>
      </c>
      <c r="BQ1955" t="s">
        <v>1067</v>
      </c>
      <c r="BR1955" t="s">
        <v>97</v>
      </c>
      <c r="BS1955" s="3">
        <v>45950</v>
      </c>
      <c r="BT1955" s="4">
        <v>0.33819444444444446</v>
      </c>
      <c r="BU1955" t="s">
        <v>1068</v>
      </c>
      <c r="BV1955" t="s">
        <v>86</v>
      </c>
      <c r="BY1955">
        <v>1200</v>
      </c>
      <c r="CA1955">
        <v>7104145194083</v>
      </c>
      <c r="CC1955" t="s">
        <v>234</v>
      </c>
      <c r="CD1955" s="5" t="s">
        <v>238</v>
      </c>
      <c r="CE1955" t="s">
        <v>147</v>
      </c>
      <c r="CF1955" s="3">
        <v>45950</v>
      </c>
      <c r="CI1955">
        <v>1</v>
      </c>
      <c r="CJ1955">
        <v>1</v>
      </c>
      <c r="CK1955">
        <v>21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"080068585404"</f>
        <v>080068585404</v>
      </c>
      <c r="F1956" s="3">
        <v>45947</v>
      </c>
      <c r="G1956">
        <v>202607</v>
      </c>
      <c r="H1956" t="s">
        <v>79</v>
      </c>
      <c r="I1956" t="s">
        <v>80</v>
      </c>
      <c r="J1956" t="s">
        <v>91</v>
      </c>
      <c r="K1956" t="s">
        <v>78</v>
      </c>
      <c r="L1956" t="s">
        <v>206</v>
      </c>
      <c r="M1956" t="s">
        <v>207</v>
      </c>
      <c r="N1956" t="s">
        <v>2673</v>
      </c>
      <c r="O1956" t="s">
        <v>82</v>
      </c>
      <c r="P1956" t="str">
        <f>"4170064696                    "</f>
        <v xml:space="preserve">4170064696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178.72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2</v>
      </c>
      <c r="BI1956">
        <v>16</v>
      </c>
      <c r="BJ1956">
        <v>9.1999999999999993</v>
      </c>
      <c r="BK1956">
        <v>16</v>
      </c>
      <c r="BL1956">
        <v>567.24</v>
      </c>
      <c r="BM1956">
        <v>85.09</v>
      </c>
      <c r="BN1956">
        <v>652.33000000000004</v>
      </c>
      <c r="BO1956">
        <v>652.33000000000004</v>
      </c>
      <c r="BQ1956" t="s">
        <v>2674</v>
      </c>
      <c r="BR1956" t="s">
        <v>97</v>
      </c>
      <c r="BS1956" s="3">
        <v>45950</v>
      </c>
      <c r="BT1956" s="4">
        <v>0.39513888888888887</v>
      </c>
      <c r="BU1956" t="s">
        <v>317</v>
      </c>
      <c r="BV1956" t="s">
        <v>86</v>
      </c>
      <c r="BY1956">
        <v>23120</v>
      </c>
      <c r="CA1956" t="s">
        <v>423</v>
      </c>
      <c r="CC1956" t="s">
        <v>207</v>
      </c>
      <c r="CD1956">
        <v>7560</v>
      </c>
      <c r="CE1956" t="s">
        <v>1088</v>
      </c>
      <c r="CF1956" s="3">
        <v>45951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"080068585441"</f>
        <v>080068585441</v>
      </c>
      <c r="F1957" s="3">
        <v>45947</v>
      </c>
      <c r="G1957">
        <v>202607</v>
      </c>
      <c r="H1957" t="s">
        <v>79</v>
      </c>
      <c r="I1957" t="s">
        <v>80</v>
      </c>
      <c r="J1957" t="s">
        <v>91</v>
      </c>
      <c r="K1957" t="s">
        <v>78</v>
      </c>
      <c r="L1957" t="s">
        <v>121</v>
      </c>
      <c r="M1957" t="s">
        <v>122</v>
      </c>
      <c r="N1957" t="s">
        <v>1523</v>
      </c>
      <c r="O1957" t="s">
        <v>82</v>
      </c>
      <c r="P1957" t="str">
        <f>"4170064775                    "</f>
        <v xml:space="preserve">4170064775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83.78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4</v>
      </c>
      <c r="BJ1957">
        <v>7.3</v>
      </c>
      <c r="BK1957">
        <v>7.5</v>
      </c>
      <c r="BL1957">
        <v>265.92</v>
      </c>
      <c r="BM1957">
        <v>39.89</v>
      </c>
      <c r="BN1957">
        <v>305.81</v>
      </c>
      <c r="BO1957">
        <v>305.81</v>
      </c>
      <c r="BQ1957" t="s">
        <v>1524</v>
      </c>
      <c r="BR1957" t="s">
        <v>97</v>
      </c>
      <c r="BS1957" s="3">
        <v>45950</v>
      </c>
      <c r="BT1957" s="4">
        <v>0.43819444444444444</v>
      </c>
      <c r="BU1957" t="s">
        <v>1525</v>
      </c>
      <c r="BV1957" t="s">
        <v>90</v>
      </c>
      <c r="BW1957" t="s">
        <v>136</v>
      </c>
      <c r="BX1957" t="s">
        <v>137</v>
      </c>
      <c r="BY1957">
        <v>36288</v>
      </c>
      <c r="CA1957" t="s">
        <v>331</v>
      </c>
      <c r="CC1957" t="s">
        <v>122</v>
      </c>
      <c r="CD1957">
        <v>4052</v>
      </c>
      <c r="CE1957" t="s">
        <v>107</v>
      </c>
      <c r="CF1957" s="3">
        <v>45950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"080068585463"</f>
        <v>080068585463</v>
      </c>
      <c r="F1958" s="3">
        <v>45947</v>
      </c>
      <c r="G1958">
        <v>202607</v>
      </c>
      <c r="H1958" t="s">
        <v>79</v>
      </c>
      <c r="I1958" t="s">
        <v>80</v>
      </c>
      <c r="J1958" t="s">
        <v>91</v>
      </c>
      <c r="K1958" t="s">
        <v>78</v>
      </c>
      <c r="L1958" t="s">
        <v>108</v>
      </c>
      <c r="M1958" t="s">
        <v>109</v>
      </c>
      <c r="N1958" t="s">
        <v>515</v>
      </c>
      <c r="O1958" t="s">
        <v>82</v>
      </c>
      <c r="P1958" t="str">
        <f>"4170064792                    "</f>
        <v xml:space="preserve">4170064792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33.520000000000003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3</v>
      </c>
      <c r="BJ1958">
        <v>1.9</v>
      </c>
      <c r="BK1958">
        <v>3</v>
      </c>
      <c r="BL1958">
        <v>106.4</v>
      </c>
      <c r="BM1958">
        <v>15.96</v>
      </c>
      <c r="BN1958">
        <v>122.36</v>
      </c>
      <c r="BO1958">
        <v>122.36</v>
      </c>
      <c r="BQ1958" t="s">
        <v>516</v>
      </c>
      <c r="BR1958" t="s">
        <v>97</v>
      </c>
      <c r="BS1958" s="3">
        <v>45950</v>
      </c>
      <c r="BT1958" s="4">
        <v>0.42222222222222222</v>
      </c>
      <c r="BU1958" t="s">
        <v>2672</v>
      </c>
      <c r="BV1958" t="s">
        <v>86</v>
      </c>
      <c r="BY1958">
        <v>9600</v>
      </c>
      <c r="CA1958" t="s">
        <v>762</v>
      </c>
      <c r="CC1958" t="s">
        <v>109</v>
      </c>
      <c r="CD1958">
        <v>6001</v>
      </c>
      <c r="CE1958" t="s">
        <v>191</v>
      </c>
      <c r="CF1958" s="3">
        <v>45950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"080068585487"</f>
        <v>080068585487</v>
      </c>
      <c r="F1959" s="3">
        <v>45947</v>
      </c>
      <c r="G1959">
        <v>202607</v>
      </c>
      <c r="H1959" t="s">
        <v>79</v>
      </c>
      <c r="I1959" t="s">
        <v>80</v>
      </c>
      <c r="J1959" t="s">
        <v>91</v>
      </c>
      <c r="K1959" t="s">
        <v>78</v>
      </c>
      <c r="L1959" t="s">
        <v>453</v>
      </c>
      <c r="M1959" t="s">
        <v>454</v>
      </c>
      <c r="N1959" t="s">
        <v>1223</v>
      </c>
      <c r="O1959" t="s">
        <v>82</v>
      </c>
      <c r="P1959" t="str">
        <f>"4170064741                    "</f>
        <v xml:space="preserve">4170064741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22.36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2</v>
      </c>
      <c r="BJ1959">
        <v>1.1000000000000001</v>
      </c>
      <c r="BK1959">
        <v>2</v>
      </c>
      <c r="BL1959">
        <v>70.959999999999994</v>
      </c>
      <c r="BM1959">
        <v>10.64</v>
      </c>
      <c r="BN1959">
        <v>81.599999999999994</v>
      </c>
      <c r="BO1959">
        <v>81.599999999999994</v>
      </c>
      <c r="BQ1959" t="s">
        <v>1224</v>
      </c>
      <c r="BR1959" t="s">
        <v>97</v>
      </c>
      <c r="BS1959" s="3">
        <v>45950</v>
      </c>
      <c r="BT1959" s="4">
        <v>0.37361111111111112</v>
      </c>
      <c r="BU1959" t="s">
        <v>2675</v>
      </c>
      <c r="BV1959" t="s">
        <v>86</v>
      </c>
      <c r="BY1959">
        <v>5510</v>
      </c>
      <c r="CA1959" t="s">
        <v>742</v>
      </c>
      <c r="CC1959" t="s">
        <v>454</v>
      </c>
      <c r="CD1959">
        <v>3610</v>
      </c>
      <c r="CE1959" t="s">
        <v>191</v>
      </c>
      <c r="CF1959" s="3">
        <v>45950</v>
      </c>
      <c r="CI1959">
        <v>1</v>
      </c>
      <c r="CJ1959">
        <v>1</v>
      </c>
      <c r="CK1959">
        <v>21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"080068585521"</f>
        <v>080068585521</v>
      </c>
      <c r="F1960" s="3">
        <v>45947</v>
      </c>
      <c r="G1960">
        <v>202607</v>
      </c>
      <c r="H1960" t="s">
        <v>79</v>
      </c>
      <c r="I1960" t="s">
        <v>80</v>
      </c>
      <c r="J1960" t="s">
        <v>91</v>
      </c>
      <c r="K1960" t="s">
        <v>78</v>
      </c>
      <c r="L1960" t="s">
        <v>223</v>
      </c>
      <c r="M1960" t="s">
        <v>224</v>
      </c>
      <c r="N1960" t="s">
        <v>1019</v>
      </c>
      <c r="O1960" t="s">
        <v>226</v>
      </c>
      <c r="P1960" t="str">
        <f>"4170064694                    "</f>
        <v xml:space="preserve">4170064694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17.47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3</v>
      </c>
      <c r="BJ1960">
        <v>2.7</v>
      </c>
      <c r="BK1960">
        <v>3</v>
      </c>
      <c r="BL1960">
        <v>55.44</v>
      </c>
      <c r="BM1960">
        <v>8.32</v>
      </c>
      <c r="BN1960">
        <v>63.76</v>
      </c>
      <c r="BO1960">
        <v>63.76</v>
      </c>
      <c r="BQ1960" t="s">
        <v>1020</v>
      </c>
      <c r="BR1960" t="s">
        <v>97</v>
      </c>
      <c r="BS1960" s="3">
        <v>45950</v>
      </c>
      <c r="BT1960" s="4">
        <v>0.31388888888888888</v>
      </c>
      <c r="BU1960" t="s">
        <v>1021</v>
      </c>
      <c r="BV1960" t="s">
        <v>86</v>
      </c>
      <c r="BY1960">
        <v>13500</v>
      </c>
      <c r="CA1960" t="s">
        <v>508</v>
      </c>
      <c r="CC1960" t="s">
        <v>224</v>
      </c>
      <c r="CD1960">
        <v>1459</v>
      </c>
      <c r="CE1960" t="s">
        <v>107</v>
      </c>
      <c r="CF1960" s="3">
        <v>45950</v>
      </c>
      <c r="CI1960">
        <v>1</v>
      </c>
      <c r="CJ1960">
        <v>1</v>
      </c>
      <c r="CK1960">
        <v>32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"080068585540"</f>
        <v>080068585540</v>
      </c>
      <c r="F1961" s="3">
        <v>45947</v>
      </c>
      <c r="G1961">
        <v>202607</v>
      </c>
      <c r="H1961" t="s">
        <v>79</v>
      </c>
      <c r="I1961" t="s">
        <v>80</v>
      </c>
      <c r="J1961" t="s">
        <v>91</v>
      </c>
      <c r="K1961" t="s">
        <v>78</v>
      </c>
      <c r="L1961" t="s">
        <v>148</v>
      </c>
      <c r="M1961" t="s">
        <v>149</v>
      </c>
      <c r="N1961" t="s">
        <v>465</v>
      </c>
      <c r="O1961" t="s">
        <v>226</v>
      </c>
      <c r="P1961" t="str">
        <f>"4170064788                    "</f>
        <v xml:space="preserve">4170064788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17.47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5.5</v>
      </c>
      <c r="BK1961">
        <v>6</v>
      </c>
      <c r="BL1961">
        <v>55.44</v>
      </c>
      <c r="BM1961">
        <v>8.32</v>
      </c>
      <c r="BN1961">
        <v>63.76</v>
      </c>
      <c r="BO1961">
        <v>63.76</v>
      </c>
      <c r="BQ1961" t="s">
        <v>466</v>
      </c>
      <c r="BR1961" t="s">
        <v>97</v>
      </c>
      <c r="BS1961" s="3">
        <v>45951</v>
      </c>
      <c r="BT1961" s="4">
        <v>0.38750000000000001</v>
      </c>
      <c r="BU1961" t="s">
        <v>1658</v>
      </c>
      <c r="BV1961" t="s">
        <v>90</v>
      </c>
      <c r="BW1961" t="s">
        <v>188</v>
      </c>
      <c r="BX1961" t="s">
        <v>1471</v>
      </c>
      <c r="BY1961">
        <v>27744</v>
      </c>
      <c r="CA1961" t="s">
        <v>519</v>
      </c>
      <c r="CC1961" t="s">
        <v>149</v>
      </c>
      <c r="CD1961">
        <v>2094</v>
      </c>
      <c r="CE1961" t="s">
        <v>107</v>
      </c>
      <c r="CF1961" s="3">
        <v>45951</v>
      </c>
      <c r="CI1961">
        <v>1</v>
      </c>
      <c r="CJ1961">
        <v>2</v>
      </c>
      <c r="CK1961">
        <v>32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"080068585561"</f>
        <v>080068585561</v>
      </c>
      <c r="F1962" s="3">
        <v>45947</v>
      </c>
      <c r="G1962">
        <v>202607</v>
      </c>
      <c r="H1962" t="s">
        <v>79</v>
      </c>
      <c r="I1962" t="s">
        <v>80</v>
      </c>
      <c r="J1962" t="s">
        <v>91</v>
      </c>
      <c r="K1962" t="s">
        <v>78</v>
      </c>
      <c r="L1962" t="s">
        <v>350</v>
      </c>
      <c r="M1962" t="s">
        <v>351</v>
      </c>
      <c r="N1962" t="s">
        <v>1613</v>
      </c>
      <c r="O1962" t="s">
        <v>82</v>
      </c>
      <c r="P1962" t="str">
        <f>"4170064778                    "</f>
        <v xml:space="preserve">4170064778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43.31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0.2</v>
      </c>
      <c r="BJ1962">
        <v>1</v>
      </c>
      <c r="BK1962">
        <v>1</v>
      </c>
      <c r="BL1962">
        <v>137.47</v>
      </c>
      <c r="BM1962">
        <v>20.62</v>
      </c>
      <c r="BN1962">
        <v>158.09</v>
      </c>
      <c r="BO1962">
        <v>158.09</v>
      </c>
      <c r="BQ1962" t="s">
        <v>1614</v>
      </c>
      <c r="BR1962" t="s">
        <v>97</v>
      </c>
      <c r="BS1962" s="3">
        <v>45950</v>
      </c>
      <c r="BT1962" s="4">
        <v>0.41388888888888886</v>
      </c>
      <c r="BU1962" t="s">
        <v>1658</v>
      </c>
      <c r="BV1962" t="s">
        <v>86</v>
      </c>
      <c r="BY1962">
        <v>4972.1099999999997</v>
      </c>
      <c r="CA1962" t="s">
        <v>2097</v>
      </c>
      <c r="CC1962" t="s">
        <v>351</v>
      </c>
      <c r="CD1962" s="5" t="s">
        <v>356</v>
      </c>
      <c r="CE1962" t="s">
        <v>191</v>
      </c>
      <c r="CF1962" s="3">
        <v>45951</v>
      </c>
      <c r="CI1962">
        <v>1</v>
      </c>
      <c r="CJ1962">
        <v>1</v>
      </c>
      <c r="CK1962">
        <v>23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"080068585700"</f>
        <v>080068585700</v>
      </c>
      <c r="F1963" s="3">
        <v>45947</v>
      </c>
      <c r="G1963">
        <v>202607</v>
      </c>
      <c r="H1963" t="s">
        <v>79</v>
      </c>
      <c r="I1963" t="s">
        <v>80</v>
      </c>
      <c r="J1963" t="s">
        <v>91</v>
      </c>
      <c r="K1963" t="s">
        <v>78</v>
      </c>
      <c r="L1963" t="s">
        <v>79</v>
      </c>
      <c r="M1963" t="s">
        <v>80</v>
      </c>
      <c r="N1963" t="s">
        <v>357</v>
      </c>
      <c r="O1963" t="s">
        <v>82</v>
      </c>
      <c r="P1963" t="str">
        <f>"4170064745                    "</f>
        <v xml:space="preserve">4170064745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17.46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0.7</v>
      </c>
      <c r="BK1963">
        <v>2</v>
      </c>
      <c r="BL1963">
        <v>55.42</v>
      </c>
      <c r="BM1963">
        <v>8.31</v>
      </c>
      <c r="BN1963">
        <v>63.73</v>
      </c>
      <c r="BO1963">
        <v>63.73</v>
      </c>
      <c r="BQ1963" t="s">
        <v>358</v>
      </c>
      <c r="BR1963" t="s">
        <v>97</v>
      </c>
      <c r="BS1963" s="3">
        <v>45951</v>
      </c>
      <c r="BT1963" s="4">
        <v>0.41666666666666669</v>
      </c>
      <c r="BU1963" t="s">
        <v>2342</v>
      </c>
      <c r="BV1963" t="s">
        <v>90</v>
      </c>
      <c r="BW1963" t="s">
        <v>2649</v>
      </c>
      <c r="BX1963" t="s">
        <v>677</v>
      </c>
      <c r="BY1963">
        <v>3306</v>
      </c>
      <c r="CC1963" t="s">
        <v>80</v>
      </c>
      <c r="CD1963">
        <v>1645</v>
      </c>
      <c r="CE1963" t="s">
        <v>191</v>
      </c>
      <c r="CF1963" s="3">
        <v>45952</v>
      </c>
      <c r="CI1963">
        <v>1</v>
      </c>
      <c r="CJ1963">
        <v>2</v>
      </c>
      <c r="CK1963">
        <v>22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"080068585716"</f>
        <v>080068585716</v>
      </c>
      <c r="F1964" s="3">
        <v>45947</v>
      </c>
      <c r="G1964">
        <v>202607</v>
      </c>
      <c r="H1964" t="s">
        <v>79</v>
      </c>
      <c r="I1964" t="s">
        <v>80</v>
      </c>
      <c r="J1964" t="s">
        <v>91</v>
      </c>
      <c r="K1964" t="s">
        <v>78</v>
      </c>
      <c r="L1964" t="s">
        <v>271</v>
      </c>
      <c r="M1964" t="s">
        <v>272</v>
      </c>
      <c r="N1964" t="s">
        <v>277</v>
      </c>
      <c r="O1964" t="s">
        <v>82</v>
      </c>
      <c r="P1964" t="str">
        <f>"4170064818                    "</f>
        <v xml:space="preserve">4170064818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17.46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1.8</v>
      </c>
      <c r="BK1964">
        <v>2</v>
      </c>
      <c r="BL1964">
        <v>55.42</v>
      </c>
      <c r="BM1964">
        <v>8.31</v>
      </c>
      <c r="BN1964">
        <v>63.73</v>
      </c>
      <c r="BO1964">
        <v>63.73</v>
      </c>
      <c r="BQ1964" t="s">
        <v>278</v>
      </c>
      <c r="BR1964" t="s">
        <v>97</v>
      </c>
      <c r="BS1964" s="3">
        <v>45950</v>
      </c>
      <c r="BT1964" s="4">
        <v>0.3263888888888889</v>
      </c>
      <c r="BU1964" t="s">
        <v>2676</v>
      </c>
      <c r="BV1964" t="s">
        <v>86</v>
      </c>
      <c r="BY1964">
        <v>8816</v>
      </c>
      <c r="CA1964" t="s">
        <v>1659</v>
      </c>
      <c r="CC1964" t="s">
        <v>272</v>
      </c>
      <c r="CD1964">
        <v>1401</v>
      </c>
      <c r="CE1964" t="s">
        <v>191</v>
      </c>
      <c r="CF1964" s="3">
        <v>45951</v>
      </c>
      <c r="CI1964">
        <v>1</v>
      </c>
      <c r="CJ1964">
        <v>1</v>
      </c>
      <c r="CK1964">
        <v>22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"080068585736"</f>
        <v>080068585736</v>
      </c>
      <c r="F1965" s="3">
        <v>45947</v>
      </c>
      <c r="G1965">
        <v>202607</v>
      </c>
      <c r="H1965" t="s">
        <v>79</v>
      </c>
      <c r="I1965" t="s">
        <v>80</v>
      </c>
      <c r="J1965" t="s">
        <v>91</v>
      </c>
      <c r="K1965" t="s">
        <v>78</v>
      </c>
      <c r="L1965" t="s">
        <v>114</v>
      </c>
      <c r="M1965" t="s">
        <v>115</v>
      </c>
      <c r="N1965" t="s">
        <v>746</v>
      </c>
      <c r="O1965" t="s">
        <v>82</v>
      </c>
      <c r="P1965" t="str">
        <f>"4170064705                    "</f>
        <v xml:space="preserve">4170064705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22.36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70.959999999999994</v>
      </c>
      <c r="BM1965">
        <v>10.64</v>
      </c>
      <c r="BN1965">
        <v>81.599999999999994</v>
      </c>
      <c r="BO1965">
        <v>81.599999999999994</v>
      </c>
      <c r="BQ1965" t="s">
        <v>747</v>
      </c>
      <c r="BR1965" t="s">
        <v>97</v>
      </c>
      <c r="BS1965" s="3">
        <v>45950</v>
      </c>
      <c r="BT1965" s="4">
        <v>0.4236111111111111</v>
      </c>
      <c r="BU1965" t="s">
        <v>2677</v>
      </c>
      <c r="BV1965" t="s">
        <v>86</v>
      </c>
      <c r="BY1965">
        <v>1200</v>
      </c>
      <c r="CA1965" t="s">
        <v>749</v>
      </c>
      <c r="CC1965" t="s">
        <v>115</v>
      </c>
      <c r="CD1965">
        <v>5201</v>
      </c>
      <c r="CE1965" t="s">
        <v>147</v>
      </c>
      <c r="CF1965" s="3">
        <v>45951</v>
      </c>
      <c r="CI1965">
        <v>1</v>
      </c>
      <c r="CJ1965">
        <v>1</v>
      </c>
      <c r="CK1965">
        <v>21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"080068585751"</f>
        <v>080068585751</v>
      </c>
      <c r="F1966" s="3">
        <v>45947</v>
      </c>
      <c r="G1966">
        <v>202607</v>
      </c>
      <c r="H1966" t="s">
        <v>79</v>
      </c>
      <c r="I1966" t="s">
        <v>80</v>
      </c>
      <c r="J1966" t="s">
        <v>91</v>
      </c>
      <c r="K1966" t="s">
        <v>78</v>
      </c>
      <c r="L1966" t="s">
        <v>108</v>
      </c>
      <c r="M1966" t="s">
        <v>109</v>
      </c>
      <c r="N1966" t="s">
        <v>287</v>
      </c>
      <c r="O1966" t="s">
        <v>82</v>
      </c>
      <c r="P1966" t="str">
        <f>"4170064808                    "</f>
        <v xml:space="preserve">4170064808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22.36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70.959999999999994</v>
      </c>
      <c r="BM1966">
        <v>10.64</v>
      </c>
      <c r="BN1966">
        <v>81.599999999999994</v>
      </c>
      <c r="BO1966">
        <v>81.599999999999994</v>
      </c>
      <c r="BQ1966" t="s">
        <v>288</v>
      </c>
      <c r="BR1966" t="s">
        <v>97</v>
      </c>
      <c r="BS1966" s="3">
        <v>45950</v>
      </c>
      <c r="BT1966" s="4">
        <v>0.39444444444444443</v>
      </c>
      <c r="BU1966" t="s">
        <v>2678</v>
      </c>
      <c r="BV1966" t="s">
        <v>86</v>
      </c>
      <c r="BY1966">
        <v>1200</v>
      </c>
      <c r="CA1966" t="s">
        <v>1090</v>
      </c>
      <c r="CC1966" t="s">
        <v>109</v>
      </c>
      <c r="CD1966">
        <v>6012</v>
      </c>
      <c r="CE1966" t="s">
        <v>147</v>
      </c>
      <c r="CF1966" s="3">
        <v>45950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"080068586282"</f>
        <v>080068586282</v>
      </c>
      <c r="F1967" s="3">
        <v>45947</v>
      </c>
      <c r="G1967">
        <v>202607</v>
      </c>
      <c r="H1967" t="s">
        <v>79</v>
      </c>
      <c r="I1967" t="s">
        <v>80</v>
      </c>
      <c r="J1967" t="s">
        <v>91</v>
      </c>
      <c r="K1967" t="s">
        <v>78</v>
      </c>
      <c r="L1967" t="s">
        <v>79</v>
      </c>
      <c r="M1967" t="s">
        <v>80</v>
      </c>
      <c r="N1967" t="s">
        <v>357</v>
      </c>
      <c r="O1967" t="s">
        <v>82</v>
      </c>
      <c r="P1967" t="str">
        <f>"4170064805                    "</f>
        <v xml:space="preserve">4170064805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17.46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1.1000000000000001</v>
      </c>
      <c r="BK1967">
        <v>2</v>
      </c>
      <c r="BL1967">
        <v>55.42</v>
      </c>
      <c r="BM1967">
        <v>8.31</v>
      </c>
      <c r="BN1967">
        <v>63.73</v>
      </c>
      <c r="BO1967">
        <v>63.73</v>
      </c>
      <c r="BQ1967" t="s">
        <v>358</v>
      </c>
      <c r="BR1967" t="s">
        <v>97</v>
      </c>
      <c r="BS1967" s="3">
        <v>45951</v>
      </c>
      <c r="BT1967" s="4">
        <v>0.41666666666666669</v>
      </c>
      <c r="BU1967" t="s">
        <v>2342</v>
      </c>
      <c r="BV1967" t="s">
        <v>90</v>
      </c>
      <c r="BW1967" t="s">
        <v>2649</v>
      </c>
      <c r="BX1967" t="s">
        <v>677</v>
      </c>
      <c r="BY1967">
        <v>5510</v>
      </c>
      <c r="CC1967" t="s">
        <v>80</v>
      </c>
      <c r="CD1967">
        <v>1645</v>
      </c>
      <c r="CE1967" t="s">
        <v>191</v>
      </c>
      <c r="CF1967" s="3">
        <v>45952</v>
      </c>
      <c r="CI1967">
        <v>1</v>
      </c>
      <c r="CJ1967">
        <v>2</v>
      </c>
      <c r="CK1967">
        <v>22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"080068586326"</f>
        <v>080068586326</v>
      </c>
      <c r="F1968" s="3">
        <v>45947</v>
      </c>
      <c r="G1968">
        <v>202607</v>
      </c>
      <c r="H1968" t="s">
        <v>79</v>
      </c>
      <c r="I1968" t="s">
        <v>80</v>
      </c>
      <c r="J1968" t="s">
        <v>91</v>
      </c>
      <c r="K1968" t="s">
        <v>78</v>
      </c>
      <c r="L1968" t="s">
        <v>2325</v>
      </c>
      <c r="M1968" t="s">
        <v>2326</v>
      </c>
      <c r="N1968" t="s">
        <v>2327</v>
      </c>
      <c r="O1968" t="s">
        <v>82</v>
      </c>
      <c r="P1968" t="str">
        <f>"4170064816                    "</f>
        <v xml:space="preserve">4170064816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43.31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0.7</v>
      </c>
      <c r="BK1968">
        <v>1</v>
      </c>
      <c r="BL1968">
        <v>137.47</v>
      </c>
      <c r="BM1968">
        <v>20.62</v>
      </c>
      <c r="BN1968">
        <v>158.09</v>
      </c>
      <c r="BO1968">
        <v>158.09</v>
      </c>
      <c r="BQ1968" t="s">
        <v>2328</v>
      </c>
      <c r="BR1968" t="s">
        <v>97</v>
      </c>
      <c r="BS1968" s="3">
        <v>45950</v>
      </c>
      <c r="BT1968" s="4">
        <v>0.46180555555555558</v>
      </c>
      <c r="BU1968" t="s">
        <v>2393</v>
      </c>
      <c r="BV1968" t="s">
        <v>86</v>
      </c>
      <c r="BY1968">
        <v>3306</v>
      </c>
      <c r="CA1968" t="s">
        <v>2394</v>
      </c>
      <c r="CC1968" t="s">
        <v>2326</v>
      </c>
      <c r="CD1968">
        <v>4449</v>
      </c>
      <c r="CE1968" t="s">
        <v>191</v>
      </c>
      <c r="CF1968" s="3">
        <v>45950</v>
      </c>
      <c r="CI1968">
        <v>1</v>
      </c>
      <c r="CJ1968">
        <v>1</v>
      </c>
      <c r="CK1968">
        <v>23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"080068586347"</f>
        <v>080068586347</v>
      </c>
      <c r="F1969" s="3">
        <v>45947</v>
      </c>
      <c r="G1969">
        <v>202607</v>
      </c>
      <c r="H1969" t="s">
        <v>79</v>
      </c>
      <c r="I1969" t="s">
        <v>80</v>
      </c>
      <c r="J1969" t="s">
        <v>91</v>
      </c>
      <c r="K1969" t="s">
        <v>78</v>
      </c>
      <c r="L1969" t="s">
        <v>239</v>
      </c>
      <c r="M1969" t="s">
        <v>240</v>
      </c>
      <c r="N1969" t="s">
        <v>2679</v>
      </c>
      <c r="O1969" t="s">
        <v>95</v>
      </c>
      <c r="P1969" t="str">
        <f>"4170064801                    "</f>
        <v xml:space="preserve">4170064801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135.71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38.9</v>
      </c>
      <c r="BJ1969">
        <v>18.2</v>
      </c>
      <c r="BK1969">
        <v>39</v>
      </c>
      <c r="BL1969">
        <v>436.61</v>
      </c>
      <c r="BM1969">
        <v>65.489999999999995</v>
      </c>
      <c r="BN1969">
        <v>502.1</v>
      </c>
      <c r="BO1969">
        <v>502.1</v>
      </c>
      <c r="BQ1969" t="s">
        <v>2680</v>
      </c>
      <c r="BR1969" t="s">
        <v>97</v>
      </c>
      <c r="BS1969" s="3">
        <v>45950</v>
      </c>
      <c r="BT1969" s="4">
        <v>0.49236111111111114</v>
      </c>
      <c r="BU1969" t="s">
        <v>2681</v>
      </c>
      <c r="BV1969" t="s">
        <v>86</v>
      </c>
      <c r="BY1969">
        <v>91238.399999999994</v>
      </c>
      <c r="CA1969" t="s">
        <v>244</v>
      </c>
      <c r="CC1969" t="s">
        <v>240</v>
      </c>
      <c r="CD1969" s="5" t="s">
        <v>2682</v>
      </c>
      <c r="CE1969" t="s">
        <v>2683</v>
      </c>
      <c r="CF1969" s="3">
        <v>45951</v>
      </c>
      <c r="CI1969">
        <v>1</v>
      </c>
      <c r="CJ1969">
        <v>1</v>
      </c>
      <c r="CK1969">
        <v>43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"080068586359"</f>
        <v>080068586359</v>
      </c>
      <c r="F1970" s="3">
        <v>45947</v>
      </c>
      <c r="G1970">
        <v>202607</v>
      </c>
      <c r="H1970" t="s">
        <v>79</v>
      </c>
      <c r="I1970" t="s">
        <v>80</v>
      </c>
      <c r="J1970" t="s">
        <v>91</v>
      </c>
      <c r="K1970" t="s">
        <v>78</v>
      </c>
      <c r="L1970" t="s">
        <v>333</v>
      </c>
      <c r="M1970" t="s">
        <v>334</v>
      </c>
      <c r="N1970" t="s">
        <v>1388</v>
      </c>
      <c r="O1970" t="s">
        <v>82</v>
      </c>
      <c r="P1970" t="str">
        <f>"4170064759                    "</f>
        <v xml:space="preserve">4170064759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22.36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0.9</v>
      </c>
      <c r="BK1970">
        <v>1</v>
      </c>
      <c r="BL1970">
        <v>70.959999999999994</v>
      </c>
      <c r="BM1970">
        <v>10.64</v>
      </c>
      <c r="BN1970">
        <v>81.599999999999994</v>
      </c>
      <c r="BO1970">
        <v>81.599999999999994</v>
      </c>
      <c r="BQ1970" t="s">
        <v>1389</v>
      </c>
      <c r="BR1970" t="s">
        <v>97</v>
      </c>
      <c r="BS1970" s="3">
        <v>45950</v>
      </c>
      <c r="BT1970" s="4">
        <v>0.37777777777777777</v>
      </c>
      <c r="BU1970" t="s">
        <v>2624</v>
      </c>
      <c r="BV1970" t="s">
        <v>86</v>
      </c>
      <c r="BY1970">
        <v>4275</v>
      </c>
      <c r="CA1970" t="s">
        <v>142</v>
      </c>
      <c r="CC1970" t="s">
        <v>334</v>
      </c>
      <c r="CD1970">
        <v>6220</v>
      </c>
      <c r="CE1970" t="s">
        <v>191</v>
      </c>
      <c r="CF1970" s="3">
        <v>45950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"080068586372"</f>
        <v>080068586372</v>
      </c>
      <c r="F1971" s="3">
        <v>45947</v>
      </c>
      <c r="G1971">
        <v>202607</v>
      </c>
      <c r="H1971" t="s">
        <v>79</v>
      </c>
      <c r="I1971" t="s">
        <v>80</v>
      </c>
      <c r="J1971" t="s">
        <v>91</v>
      </c>
      <c r="K1971" t="s">
        <v>78</v>
      </c>
      <c r="L1971" t="s">
        <v>2325</v>
      </c>
      <c r="M1971" t="s">
        <v>2326</v>
      </c>
      <c r="N1971" t="s">
        <v>2392</v>
      </c>
      <c r="O1971" t="s">
        <v>82</v>
      </c>
      <c r="P1971" t="str">
        <f>"4170064817                    "</f>
        <v xml:space="preserve">4170064817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43.31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137.47</v>
      </c>
      <c r="BM1971">
        <v>20.62</v>
      </c>
      <c r="BN1971">
        <v>158.09</v>
      </c>
      <c r="BO1971">
        <v>158.09</v>
      </c>
      <c r="BQ1971" t="s">
        <v>2328</v>
      </c>
      <c r="BR1971" t="s">
        <v>97</v>
      </c>
      <c r="BS1971" s="3">
        <v>45950</v>
      </c>
      <c r="BT1971" s="4">
        <v>0.46111111111111114</v>
      </c>
      <c r="BU1971" t="s">
        <v>2630</v>
      </c>
      <c r="BV1971" t="s">
        <v>86</v>
      </c>
      <c r="BY1971">
        <v>1200</v>
      </c>
      <c r="CA1971" t="s">
        <v>2631</v>
      </c>
      <c r="CC1971" t="s">
        <v>2326</v>
      </c>
      <c r="CD1971">
        <v>4449</v>
      </c>
      <c r="CE1971" t="s">
        <v>147</v>
      </c>
      <c r="CF1971" s="3">
        <v>45950</v>
      </c>
      <c r="CI1971">
        <v>1</v>
      </c>
      <c r="CJ1971">
        <v>1</v>
      </c>
      <c r="CK1971">
        <v>23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"080068586383"</f>
        <v>080068586383</v>
      </c>
      <c r="F1972" s="3">
        <v>45947</v>
      </c>
      <c r="G1972">
        <v>202607</v>
      </c>
      <c r="H1972" t="s">
        <v>79</v>
      </c>
      <c r="I1972" t="s">
        <v>80</v>
      </c>
      <c r="J1972" t="s">
        <v>91</v>
      </c>
      <c r="K1972" t="s">
        <v>78</v>
      </c>
      <c r="L1972" t="s">
        <v>79</v>
      </c>
      <c r="M1972" t="s">
        <v>80</v>
      </c>
      <c r="N1972" t="s">
        <v>577</v>
      </c>
      <c r="O1972" t="s">
        <v>82</v>
      </c>
      <c r="P1972" t="str">
        <f>"4170064723                    "</f>
        <v xml:space="preserve">4170064723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17.46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0.9</v>
      </c>
      <c r="BK1972">
        <v>1</v>
      </c>
      <c r="BL1972">
        <v>55.42</v>
      </c>
      <c r="BM1972">
        <v>8.31</v>
      </c>
      <c r="BN1972">
        <v>63.73</v>
      </c>
      <c r="BO1972">
        <v>63.73</v>
      </c>
      <c r="BQ1972" t="s">
        <v>578</v>
      </c>
      <c r="BR1972" t="s">
        <v>97</v>
      </c>
      <c r="BS1972" s="3">
        <v>45950</v>
      </c>
      <c r="BT1972" s="4">
        <v>0.39513888888888887</v>
      </c>
      <c r="BU1972" t="s">
        <v>579</v>
      </c>
      <c r="BV1972" t="s">
        <v>86</v>
      </c>
      <c r="BY1972">
        <v>4275</v>
      </c>
      <c r="CA1972" t="s">
        <v>580</v>
      </c>
      <c r="CC1972" t="s">
        <v>80</v>
      </c>
      <c r="CD1972">
        <v>1619</v>
      </c>
      <c r="CE1972" t="s">
        <v>191</v>
      </c>
      <c r="CF1972" s="3">
        <v>45950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"080068586382"</f>
        <v>080068586382</v>
      </c>
      <c r="F1973" s="3">
        <v>45947</v>
      </c>
      <c r="G1973">
        <v>202607</v>
      </c>
      <c r="H1973" t="s">
        <v>79</v>
      </c>
      <c r="I1973" t="s">
        <v>80</v>
      </c>
      <c r="J1973" t="s">
        <v>91</v>
      </c>
      <c r="K1973" t="s">
        <v>78</v>
      </c>
      <c r="L1973" t="s">
        <v>206</v>
      </c>
      <c r="M1973" t="s">
        <v>207</v>
      </c>
      <c r="N1973" t="s">
        <v>208</v>
      </c>
      <c r="O1973" t="s">
        <v>82</v>
      </c>
      <c r="P1973" t="str">
        <f>"4170064713                    "</f>
        <v xml:space="preserve">4170064713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22.36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70.959999999999994</v>
      </c>
      <c r="BM1973">
        <v>10.64</v>
      </c>
      <c r="BN1973">
        <v>81.599999999999994</v>
      </c>
      <c r="BO1973">
        <v>81.599999999999994</v>
      </c>
      <c r="BQ1973" t="s">
        <v>209</v>
      </c>
      <c r="BR1973" t="s">
        <v>97</v>
      </c>
      <c r="BS1973" s="3">
        <v>45950</v>
      </c>
      <c r="BT1973" s="4">
        <v>0.38055555555555554</v>
      </c>
      <c r="BU1973" t="s">
        <v>2684</v>
      </c>
      <c r="BV1973" t="s">
        <v>86</v>
      </c>
      <c r="BY1973">
        <v>1200</v>
      </c>
      <c r="CA1973" t="s">
        <v>770</v>
      </c>
      <c r="CC1973" t="s">
        <v>207</v>
      </c>
      <c r="CD1973">
        <v>7441</v>
      </c>
      <c r="CE1973" t="s">
        <v>147</v>
      </c>
      <c r="CF1973" s="3">
        <v>45951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"080068586404"</f>
        <v>080068586404</v>
      </c>
      <c r="F1974" s="3">
        <v>45947</v>
      </c>
      <c r="G1974">
        <v>202607</v>
      </c>
      <c r="H1974" t="s">
        <v>79</v>
      </c>
      <c r="I1974" t="s">
        <v>80</v>
      </c>
      <c r="J1974" t="s">
        <v>91</v>
      </c>
      <c r="K1974" t="s">
        <v>78</v>
      </c>
      <c r="L1974" t="s">
        <v>206</v>
      </c>
      <c r="M1974" t="s">
        <v>207</v>
      </c>
      <c r="N1974" t="s">
        <v>1170</v>
      </c>
      <c r="O1974" t="s">
        <v>82</v>
      </c>
      <c r="P1974" t="str">
        <f>"4170064810                    "</f>
        <v xml:space="preserve">4170064810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22.36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70.959999999999994</v>
      </c>
      <c r="BM1974">
        <v>10.64</v>
      </c>
      <c r="BN1974">
        <v>81.599999999999994</v>
      </c>
      <c r="BO1974">
        <v>81.599999999999994</v>
      </c>
      <c r="BQ1974" t="s">
        <v>1171</v>
      </c>
      <c r="BR1974" t="s">
        <v>97</v>
      </c>
      <c r="BS1974" s="3">
        <v>45950</v>
      </c>
      <c r="BT1974" s="4">
        <v>0.35069444444444442</v>
      </c>
      <c r="BU1974" t="s">
        <v>1172</v>
      </c>
      <c r="BV1974" t="s">
        <v>86</v>
      </c>
      <c r="BY1974">
        <v>1200</v>
      </c>
      <c r="CA1974" t="s">
        <v>1173</v>
      </c>
      <c r="CC1974" t="s">
        <v>207</v>
      </c>
      <c r="CD1974">
        <v>7764</v>
      </c>
      <c r="CE1974" t="s">
        <v>147</v>
      </c>
      <c r="CF1974" s="3">
        <v>45951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"080068586405"</f>
        <v>080068586405</v>
      </c>
      <c r="F1975" s="3">
        <v>45947</v>
      </c>
      <c r="G1975">
        <v>202607</v>
      </c>
      <c r="H1975" t="s">
        <v>79</v>
      </c>
      <c r="I1975" t="s">
        <v>80</v>
      </c>
      <c r="J1975" t="s">
        <v>91</v>
      </c>
      <c r="K1975" t="s">
        <v>78</v>
      </c>
      <c r="L1975" t="s">
        <v>206</v>
      </c>
      <c r="M1975" t="s">
        <v>207</v>
      </c>
      <c r="N1975" t="s">
        <v>427</v>
      </c>
      <c r="O1975" t="s">
        <v>82</v>
      </c>
      <c r="P1975" t="str">
        <f>"4170064724                    "</f>
        <v xml:space="preserve">4170064724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39.11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3.4</v>
      </c>
      <c r="BK1975">
        <v>3.5</v>
      </c>
      <c r="BL1975">
        <v>124.13</v>
      </c>
      <c r="BM1975">
        <v>18.62</v>
      </c>
      <c r="BN1975">
        <v>142.75</v>
      </c>
      <c r="BO1975">
        <v>142.75</v>
      </c>
      <c r="BQ1975" t="s">
        <v>428</v>
      </c>
      <c r="BR1975" t="s">
        <v>97</v>
      </c>
      <c r="BS1975" s="3">
        <v>45950</v>
      </c>
      <c r="BT1975" s="4">
        <v>0.32708333333333334</v>
      </c>
      <c r="BU1975" t="s">
        <v>2671</v>
      </c>
      <c r="BV1975" t="s">
        <v>86</v>
      </c>
      <c r="BY1975">
        <v>16965</v>
      </c>
      <c r="CA1975" t="s">
        <v>423</v>
      </c>
      <c r="CC1975" t="s">
        <v>207</v>
      </c>
      <c r="CD1975">
        <v>7530</v>
      </c>
      <c r="CE1975" t="s">
        <v>191</v>
      </c>
      <c r="CF1975" s="3">
        <v>45951</v>
      </c>
      <c r="CI1975">
        <v>1</v>
      </c>
      <c r="CJ1975">
        <v>1</v>
      </c>
      <c r="CK1975">
        <v>21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"080068586421"</f>
        <v>080068586421</v>
      </c>
      <c r="F1976" s="3">
        <v>45947</v>
      </c>
      <c r="G1976">
        <v>202607</v>
      </c>
      <c r="H1976" t="s">
        <v>79</v>
      </c>
      <c r="I1976" t="s">
        <v>80</v>
      </c>
      <c r="J1976" t="s">
        <v>91</v>
      </c>
      <c r="K1976" t="s">
        <v>78</v>
      </c>
      <c r="L1976" t="s">
        <v>168</v>
      </c>
      <c r="M1976" t="s">
        <v>169</v>
      </c>
      <c r="N1976" t="s">
        <v>688</v>
      </c>
      <c r="O1976" t="s">
        <v>82</v>
      </c>
      <c r="P1976" t="str">
        <f>"4170064821                    "</f>
        <v xml:space="preserve">4170064821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22.36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70.959999999999994</v>
      </c>
      <c r="BM1976">
        <v>10.64</v>
      </c>
      <c r="BN1976">
        <v>81.599999999999994</v>
      </c>
      <c r="BO1976">
        <v>81.599999999999994</v>
      </c>
      <c r="BQ1976" t="s">
        <v>689</v>
      </c>
      <c r="BR1976" t="s">
        <v>97</v>
      </c>
      <c r="BS1976" s="3">
        <v>45950</v>
      </c>
      <c r="BT1976" s="4">
        <v>0.41319444444444442</v>
      </c>
      <c r="BU1976" t="s">
        <v>2685</v>
      </c>
      <c r="BV1976" t="s">
        <v>86</v>
      </c>
      <c r="BY1976">
        <v>1200</v>
      </c>
      <c r="CA1976">
        <v>8303236124087</v>
      </c>
      <c r="CC1976" t="s">
        <v>169</v>
      </c>
      <c r="CD1976" s="5" t="s">
        <v>190</v>
      </c>
      <c r="CE1976" t="s">
        <v>147</v>
      </c>
      <c r="CF1976" s="3">
        <v>45950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"080068586437"</f>
        <v>080068586437</v>
      </c>
      <c r="F1977" s="3">
        <v>45947</v>
      </c>
      <c r="G1977">
        <v>202607</v>
      </c>
      <c r="H1977" t="s">
        <v>79</v>
      </c>
      <c r="I1977" t="s">
        <v>80</v>
      </c>
      <c r="J1977" t="s">
        <v>91</v>
      </c>
      <c r="K1977" t="s">
        <v>78</v>
      </c>
      <c r="L1977" t="s">
        <v>233</v>
      </c>
      <c r="M1977" t="s">
        <v>234</v>
      </c>
      <c r="N1977" t="s">
        <v>235</v>
      </c>
      <c r="O1977" t="s">
        <v>82</v>
      </c>
      <c r="P1977" t="str">
        <f>"4170064717                    "</f>
        <v xml:space="preserve">4170064717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22.36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70.959999999999994</v>
      </c>
      <c r="BM1977">
        <v>10.64</v>
      </c>
      <c r="BN1977">
        <v>81.599999999999994</v>
      </c>
      <c r="BO1977">
        <v>81.599999999999994</v>
      </c>
      <c r="BQ1977" t="s">
        <v>236</v>
      </c>
      <c r="BR1977" t="s">
        <v>97</v>
      </c>
      <c r="BS1977" s="3">
        <v>45950</v>
      </c>
      <c r="BT1977" s="4">
        <v>0.34861111111111109</v>
      </c>
      <c r="BU1977" t="s">
        <v>1561</v>
      </c>
      <c r="BV1977" t="s">
        <v>86</v>
      </c>
      <c r="BY1977">
        <v>1200</v>
      </c>
      <c r="CA1977">
        <v>7104145194083</v>
      </c>
      <c r="CC1977" t="s">
        <v>234</v>
      </c>
      <c r="CD1977" s="5" t="s">
        <v>238</v>
      </c>
      <c r="CE1977" t="s">
        <v>147</v>
      </c>
      <c r="CF1977" s="3">
        <v>45950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"080068586439"</f>
        <v>080068586439</v>
      </c>
      <c r="F1978" s="3">
        <v>45947</v>
      </c>
      <c r="G1978">
        <v>202607</v>
      </c>
      <c r="H1978" t="s">
        <v>79</v>
      </c>
      <c r="I1978" t="s">
        <v>80</v>
      </c>
      <c r="J1978" t="s">
        <v>91</v>
      </c>
      <c r="K1978" t="s">
        <v>78</v>
      </c>
      <c r="L1978" t="s">
        <v>206</v>
      </c>
      <c r="M1978" t="s">
        <v>207</v>
      </c>
      <c r="N1978" t="s">
        <v>1951</v>
      </c>
      <c r="O1978" t="s">
        <v>82</v>
      </c>
      <c r="P1978" t="str">
        <f>"4170064800                    "</f>
        <v xml:space="preserve">4170064800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39.11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</v>
      </c>
      <c r="BJ1978">
        <v>3.4</v>
      </c>
      <c r="BK1978">
        <v>3.5</v>
      </c>
      <c r="BL1978">
        <v>124.13</v>
      </c>
      <c r="BM1978">
        <v>18.62</v>
      </c>
      <c r="BN1978">
        <v>142.75</v>
      </c>
      <c r="BO1978">
        <v>142.75</v>
      </c>
      <c r="BQ1978" t="s">
        <v>1952</v>
      </c>
      <c r="BR1978" t="s">
        <v>97</v>
      </c>
      <c r="BS1978" s="3">
        <v>45950</v>
      </c>
      <c r="BT1978" s="4">
        <v>0.39166666666666666</v>
      </c>
      <c r="BU1978" t="s">
        <v>2686</v>
      </c>
      <c r="BV1978" t="s">
        <v>86</v>
      </c>
      <c r="BY1978">
        <v>16965</v>
      </c>
      <c r="CA1978" t="s">
        <v>770</v>
      </c>
      <c r="CC1978" t="s">
        <v>207</v>
      </c>
      <c r="CD1978">
        <v>7441</v>
      </c>
      <c r="CE1978" t="s">
        <v>191</v>
      </c>
      <c r="CF1978" s="3">
        <v>45951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"080068586452"</f>
        <v>080068586452</v>
      </c>
      <c r="F1979" s="3">
        <v>45947</v>
      </c>
      <c r="G1979">
        <v>202607</v>
      </c>
      <c r="H1979" t="s">
        <v>79</v>
      </c>
      <c r="I1979" t="s">
        <v>80</v>
      </c>
      <c r="J1979" t="s">
        <v>91</v>
      </c>
      <c r="K1979" t="s">
        <v>78</v>
      </c>
      <c r="L1979" t="s">
        <v>1312</v>
      </c>
      <c r="M1979" t="s">
        <v>1313</v>
      </c>
      <c r="N1979" t="s">
        <v>1314</v>
      </c>
      <c r="O1979" t="s">
        <v>82</v>
      </c>
      <c r="P1979" t="str">
        <f>"4170064811                    "</f>
        <v xml:space="preserve">4170064811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31.44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99.79</v>
      </c>
      <c r="BM1979">
        <v>14.97</v>
      </c>
      <c r="BN1979">
        <v>114.76</v>
      </c>
      <c r="BO1979">
        <v>114.76</v>
      </c>
      <c r="BQ1979" t="s">
        <v>1315</v>
      </c>
      <c r="BR1979" t="s">
        <v>97</v>
      </c>
      <c r="BS1979" s="3">
        <v>45950</v>
      </c>
      <c r="BT1979" s="4">
        <v>0.33611111111111114</v>
      </c>
      <c r="BU1979" t="s">
        <v>2187</v>
      </c>
      <c r="BV1979" t="s">
        <v>86</v>
      </c>
      <c r="BY1979">
        <v>1200</v>
      </c>
      <c r="CA1979" t="s">
        <v>1318</v>
      </c>
      <c r="CC1979" t="s">
        <v>1313</v>
      </c>
      <c r="CD1979">
        <v>2410</v>
      </c>
      <c r="CE1979" t="s">
        <v>147</v>
      </c>
      <c r="CF1979" s="3">
        <v>45950</v>
      </c>
      <c r="CI1979">
        <v>1</v>
      </c>
      <c r="CJ1979">
        <v>1</v>
      </c>
      <c r="CK1979">
        <v>24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"080068586497"</f>
        <v>080068586497</v>
      </c>
      <c r="F1980" s="3">
        <v>45947</v>
      </c>
      <c r="G1980">
        <v>202607</v>
      </c>
      <c r="H1980" t="s">
        <v>79</v>
      </c>
      <c r="I1980" t="s">
        <v>80</v>
      </c>
      <c r="J1980" t="s">
        <v>91</v>
      </c>
      <c r="K1980" t="s">
        <v>78</v>
      </c>
      <c r="L1980" t="s">
        <v>453</v>
      </c>
      <c r="M1980" t="s">
        <v>454</v>
      </c>
      <c r="N1980" t="s">
        <v>2528</v>
      </c>
      <c r="O1980" t="s">
        <v>82</v>
      </c>
      <c r="P1980" t="str">
        <f>"4170064744                    "</f>
        <v xml:space="preserve">4170064744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22.36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70.959999999999994</v>
      </c>
      <c r="BM1980">
        <v>10.64</v>
      </c>
      <c r="BN1980">
        <v>81.599999999999994</v>
      </c>
      <c r="BO1980">
        <v>81.599999999999994</v>
      </c>
      <c r="BQ1980" t="s">
        <v>2529</v>
      </c>
      <c r="BR1980" t="s">
        <v>97</v>
      </c>
      <c r="BS1980" s="3">
        <v>45950</v>
      </c>
      <c r="BT1980" s="4">
        <v>0.43263888888888891</v>
      </c>
      <c r="BU1980" t="s">
        <v>2687</v>
      </c>
      <c r="BV1980" t="s">
        <v>86</v>
      </c>
      <c r="BY1980">
        <v>1200</v>
      </c>
      <c r="CA1980" t="s">
        <v>2688</v>
      </c>
      <c r="CC1980" t="s">
        <v>454</v>
      </c>
      <c r="CD1980">
        <v>4037</v>
      </c>
      <c r="CE1980" t="s">
        <v>147</v>
      </c>
      <c r="CF1980" s="3">
        <v>45950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"080068586524"</f>
        <v>080068586524</v>
      </c>
      <c r="F1981" s="3">
        <v>45947</v>
      </c>
      <c r="G1981">
        <v>202607</v>
      </c>
      <c r="H1981" t="s">
        <v>79</v>
      </c>
      <c r="I1981" t="s">
        <v>80</v>
      </c>
      <c r="J1981" t="s">
        <v>91</v>
      </c>
      <c r="K1981" t="s">
        <v>78</v>
      </c>
      <c r="L1981" t="s">
        <v>206</v>
      </c>
      <c r="M1981" t="s">
        <v>207</v>
      </c>
      <c r="N1981" t="s">
        <v>1951</v>
      </c>
      <c r="O1981" t="s">
        <v>82</v>
      </c>
      <c r="P1981" t="str">
        <f>"4170064812                    "</f>
        <v xml:space="preserve">4170064812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55.86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4</v>
      </c>
      <c r="BJ1981">
        <v>4.7</v>
      </c>
      <c r="BK1981">
        <v>5</v>
      </c>
      <c r="BL1981">
        <v>177.3</v>
      </c>
      <c r="BM1981">
        <v>26.6</v>
      </c>
      <c r="BN1981">
        <v>203.9</v>
      </c>
      <c r="BO1981">
        <v>203.9</v>
      </c>
      <c r="BQ1981" t="s">
        <v>1952</v>
      </c>
      <c r="BR1981" t="s">
        <v>97</v>
      </c>
      <c r="BS1981" s="3">
        <v>45950</v>
      </c>
      <c r="BT1981" s="4">
        <v>0.39166666666666666</v>
      </c>
      <c r="BU1981" t="s">
        <v>2686</v>
      </c>
      <c r="BV1981" t="s">
        <v>86</v>
      </c>
      <c r="BY1981">
        <v>23680</v>
      </c>
      <c r="CA1981" t="s">
        <v>770</v>
      </c>
      <c r="CC1981" t="s">
        <v>207</v>
      </c>
      <c r="CD1981">
        <v>7441</v>
      </c>
      <c r="CE1981" t="s">
        <v>107</v>
      </c>
      <c r="CF1981" s="3">
        <v>45951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"080068586543"</f>
        <v>080068586543</v>
      </c>
      <c r="F1982" s="3">
        <v>45947</v>
      </c>
      <c r="G1982">
        <v>202607</v>
      </c>
      <c r="H1982" t="s">
        <v>79</v>
      </c>
      <c r="I1982" t="s">
        <v>80</v>
      </c>
      <c r="J1982" t="s">
        <v>91</v>
      </c>
      <c r="K1982" t="s">
        <v>78</v>
      </c>
      <c r="L1982" t="s">
        <v>148</v>
      </c>
      <c r="M1982" t="s">
        <v>149</v>
      </c>
      <c r="N1982" t="s">
        <v>465</v>
      </c>
      <c r="O1982" t="s">
        <v>82</v>
      </c>
      <c r="P1982" t="str">
        <f>"4170064709                    "</f>
        <v xml:space="preserve">4170064709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17.46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3</v>
      </c>
      <c r="BJ1982">
        <v>1.8</v>
      </c>
      <c r="BK1982">
        <v>3</v>
      </c>
      <c r="BL1982">
        <v>55.42</v>
      </c>
      <c r="BM1982">
        <v>8.31</v>
      </c>
      <c r="BN1982">
        <v>63.73</v>
      </c>
      <c r="BO1982">
        <v>63.73</v>
      </c>
      <c r="BQ1982" t="s">
        <v>466</v>
      </c>
      <c r="BR1982" t="s">
        <v>97</v>
      </c>
      <c r="BS1982" s="3">
        <v>45951</v>
      </c>
      <c r="BT1982" s="4">
        <v>0.38750000000000001</v>
      </c>
      <c r="BU1982" t="s">
        <v>1658</v>
      </c>
      <c r="BV1982" t="s">
        <v>90</v>
      </c>
      <c r="BW1982" t="s">
        <v>188</v>
      </c>
      <c r="BX1982" t="s">
        <v>1471</v>
      </c>
      <c r="BY1982">
        <v>8816</v>
      </c>
      <c r="CA1982" t="s">
        <v>519</v>
      </c>
      <c r="CC1982" t="s">
        <v>149</v>
      </c>
      <c r="CD1982">
        <v>2094</v>
      </c>
      <c r="CE1982" t="s">
        <v>191</v>
      </c>
      <c r="CF1982" s="3">
        <v>45951</v>
      </c>
      <c r="CI1982">
        <v>1</v>
      </c>
      <c r="CJ1982">
        <v>2</v>
      </c>
      <c r="CK1982">
        <v>22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"080068586557"</f>
        <v>080068586557</v>
      </c>
      <c r="F1983" s="3">
        <v>45947</v>
      </c>
      <c r="G1983">
        <v>202607</v>
      </c>
      <c r="H1983" t="s">
        <v>79</v>
      </c>
      <c r="I1983" t="s">
        <v>80</v>
      </c>
      <c r="J1983" t="s">
        <v>91</v>
      </c>
      <c r="K1983" t="s">
        <v>78</v>
      </c>
      <c r="L1983" t="s">
        <v>108</v>
      </c>
      <c r="M1983" t="s">
        <v>109</v>
      </c>
      <c r="N1983" t="s">
        <v>2689</v>
      </c>
      <c r="O1983" t="s">
        <v>82</v>
      </c>
      <c r="P1983" t="str">
        <f>"4170064708                    "</f>
        <v xml:space="preserve">4170064708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50.28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4</v>
      </c>
      <c r="BJ1983">
        <v>4.0999999999999996</v>
      </c>
      <c r="BK1983">
        <v>4.5</v>
      </c>
      <c r="BL1983">
        <v>159.58000000000001</v>
      </c>
      <c r="BM1983">
        <v>23.94</v>
      </c>
      <c r="BN1983">
        <v>183.52</v>
      </c>
      <c r="BO1983">
        <v>183.52</v>
      </c>
      <c r="BQ1983" t="s">
        <v>2690</v>
      </c>
      <c r="BR1983" t="s">
        <v>97</v>
      </c>
      <c r="BS1983" s="3">
        <v>45950</v>
      </c>
      <c r="BT1983" s="4">
        <v>0.36041666666666666</v>
      </c>
      <c r="BU1983" t="s">
        <v>1569</v>
      </c>
      <c r="BV1983" t="s">
        <v>86</v>
      </c>
      <c r="BY1983">
        <v>20358</v>
      </c>
      <c r="CA1983" t="s">
        <v>294</v>
      </c>
      <c r="CC1983" t="s">
        <v>109</v>
      </c>
      <c r="CD1983">
        <v>6001</v>
      </c>
      <c r="CE1983" t="s">
        <v>191</v>
      </c>
      <c r="CF1983" s="3">
        <v>45950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"080068586574"</f>
        <v>080068586574</v>
      </c>
      <c r="F1984" s="3">
        <v>45947</v>
      </c>
      <c r="G1984">
        <v>202607</v>
      </c>
      <c r="H1984" t="s">
        <v>79</v>
      </c>
      <c r="I1984" t="s">
        <v>80</v>
      </c>
      <c r="J1984" t="s">
        <v>91</v>
      </c>
      <c r="K1984" t="s">
        <v>78</v>
      </c>
      <c r="L1984" t="s">
        <v>239</v>
      </c>
      <c r="M1984" t="s">
        <v>240</v>
      </c>
      <c r="N1984" t="s">
        <v>526</v>
      </c>
      <c r="O1984" t="s">
        <v>82</v>
      </c>
      <c r="P1984" t="str">
        <f>"4170064815                    "</f>
        <v xml:space="preserve">4170064815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43.31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0.2</v>
      </c>
      <c r="BJ1984">
        <v>1</v>
      </c>
      <c r="BK1984">
        <v>1</v>
      </c>
      <c r="BL1984">
        <v>137.47</v>
      </c>
      <c r="BM1984">
        <v>20.62</v>
      </c>
      <c r="BN1984">
        <v>158.09</v>
      </c>
      <c r="BO1984">
        <v>158.09</v>
      </c>
      <c r="BQ1984" t="s">
        <v>527</v>
      </c>
      <c r="BR1984" t="s">
        <v>97</v>
      </c>
      <c r="BS1984" s="3">
        <v>45950</v>
      </c>
      <c r="BT1984" s="4">
        <v>0.43541666666666667</v>
      </c>
      <c r="BU1984" t="s">
        <v>2691</v>
      </c>
      <c r="BV1984" t="s">
        <v>86</v>
      </c>
      <c r="BY1984">
        <v>5054.38</v>
      </c>
      <c r="CA1984" s="5" t="s">
        <v>2692</v>
      </c>
      <c r="CC1984" t="s">
        <v>240</v>
      </c>
      <c r="CD1984" s="5" t="s">
        <v>245</v>
      </c>
      <c r="CE1984" t="s">
        <v>191</v>
      </c>
      <c r="CF1984" s="3">
        <v>45951</v>
      </c>
      <c r="CI1984">
        <v>1</v>
      </c>
      <c r="CJ1984">
        <v>1</v>
      </c>
      <c r="CK1984">
        <v>23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"080068586609"</f>
        <v>080068586609</v>
      </c>
      <c r="F1985" s="3">
        <v>45947</v>
      </c>
      <c r="G1985">
        <v>202607</v>
      </c>
      <c r="H1985" t="s">
        <v>79</v>
      </c>
      <c r="I1985" t="s">
        <v>80</v>
      </c>
      <c r="J1985" t="s">
        <v>91</v>
      </c>
      <c r="K1985" t="s">
        <v>78</v>
      </c>
      <c r="L1985" t="s">
        <v>985</v>
      </c>
      <c r="M1985" t="s">
        <v>986</v>
      </c>
      <c r="N1985" t="s">
        <v>987</v>
      </c>
      <c r="O1985" t="s">
        <v>82</v>
      </c>
      <c r="P1985" t="str">
        <f>"4170064712                    "</f>
        <v xml:space="preserve">4170064712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22.36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70.959999999999994</v>
      </c>
      <c r="BM1985">
        <v>10.64</v>
      </c>
      <c r="BN1985">
        <v>81.599999999999994</v>
      </c>
      <c r="BO1985">
        <v>81.599999999999994</v>
      </c>
      <c r="BQ1985" t="s">
        <v>988</v>
      </c>
      <c r="BR1985" t="s">
        <v>97</v>
      </c>
      <c r="BS1985" s="3">
        <v>45950</v>
      </c>
      <c r="BT1985" s="4">
        <v>0.6694444444444444</v>
      </c>
      <c r="BU1985" t="s">
        <v>2693</v>
      </c>
      <c r="BV1985" t="s">
        <v>90</v>
      </c>
      <c r="BW1985" t="s">
        <v>347</v>
      </c>
      <c r="BX1985" t="s">
        <v>2043</v>
      </c>
      <c r="BY1985">
        <v>1200</v>
      </c>
      <c r="CA1985" t="s">
        <v>2694</v>
      </c>
      <c r="CC1985" t="s">
        <v>986</v>
      </c>
      <c r="CD1985">
        <v>7600</v>
      </c>
      <c r="CE1985" t="s">
        <v>147</v>
      </c>
      <c r="CF1985" s="3">
        <v>45951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"080068586661"</f>
        <v>080068586661</v>
      </c>
      <c r="F1986" s="3">
        <v>45947</v>
      </c>
      <c r="G1986">
        <v>202607</v>
      </c>
      <c r="H1986" t="s">
        <v>79</v>
      </c>
      <c r="I1986" t="s">
        <v>80</v>
      </c>
      <c r="J1986" t="s">
        <v>91</v>
      </c>
      <c r="K1986" t="s">
        <v>78</v>
      </c>
      <c r="L1986" t="s">
        <v>271</v>
      </c>
      <c r="M1986" t="s">
        <v>272</v>
      </c>
      <c r="N1986" t="s">
        <v>2695</v>
      </c>
      <c r="O1986" t="s">
        <v>95</v>
      </c>
      <c r="P1986" t="str">
        <f>"4170064768                    "</f>
        <v xml:space="preserve">4170064768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49.94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2</v>
      </c>
      <c r="BI1986">
        <v>32</v>
      </c>
      <c r="BJ1986">
        <v>18.5</v>
      </c>
      <c r="BK1986">
        <v>32</v>
      </c>
      <c r="BL1986">
        <v>164.37</v>
      </c>
      <c r="BM1986">
        <v>24.66</v>
      </c>
      <c r="BN1986">
        <v>189.03</v>
      </c>
      <c r="BO1986">
        <v>189.03</v>
      </c>
      <c r="BQ1986" t="s">
        <v>2696</v>
      </c>
      <c r="BR1986" t="s">
        <v>97</v>
      </c>
      <c r="BS1986" s="3">
        <v>45950</v>
      </c>
      <c r="BT1986" s="4">
        <v>0.46458333333333335</v>
      </c>
      <c r="BU1986" t="s">
        <v>2697</v>
      </c>
      <c r="BV1986" t="s">
        <v>86</v>
      </c>
      <c r="BY1986">
        <v>46200</v>
      </c>
      <c r="CA1986" t="s">
        <v>681</v>
      </c>
      <c r="CC1986" t="s">
        <v>272</v>
      </c>
      <c r="CD1986">
        <v>1401</v>
      </c>
      <c r="CE1986" t="s">
        <v>1088</v>
      </c>
      <c r="CF1986" s="3">
        <v>45950</v>
      </c>
      <c r="CI1986">
        <v>1</v>
      </c>
      <c r="CJ1986">
        <v>1</v>
      </c>
      <c r="CK1986">
        <v>42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"080068586763"</f>
        <v>080068586763</v>
      </c>
      <c r="F1987" s="3">
        <v>45947</v>
      </c>
      <c r="G1987">
        <v>202607</v>
      </c>
      <c r="H1987" t="s">
        <v>79</v>
      </c>
      <c r="I1987" t="s">
        <v>80</v>
      </c>
      <c r="J1987" t="s">
        <v>91</v>
      </c>
      <c r="K1987" t="s">
        <v>78</v>
      </c>
      <c r="L1987" t="s">
        <v>206</v>
      </c>
      <c r="M1987" t="s">
        <v>207</v>
      </c>
      <c r="N1987" t="s">
        <v>427</v>
      </c>
      <c r="O1987" t="s">
        <v>82</v>
      </c>
      <c r="P1987" t="str">
        <f>"4170064327                    "</f>
        <v xml:space="preserve">4170064327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22.36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70.959999999999994</v>
      </c>
      <c r="BM1987">
        <v>10.64</v>
      </c>
      <c r="BN1987">
        <v>81.599999999999994</v>
      </c>
      <c r="BO1987">
        <v>81.599999999999994</v>
      </c>
      <c r="BQ1987" t="s">
        <v>428</v>
      </c>
      <c r="BR1987" t="s">
        <v>97</v>
      </c>
      <c r="BS1987" s="3">
        <v>45950</v>
      </c>
      <c r="BT1987" s="4">
        <v>0.32708333333333334</v>
      </c>
      <c r="BU1987" t="s">
        <v>2671</v>
      </c>
      <c r="BV1987" t="s">
        <v>86</v>
      </c>
      <c r="BY1987">
        <v>1200</v>
      </c>
      <c r="CA1987" t="s">
        <v>423</v>
      </c>
      <c r="CC1987" t="s">
        <v>207</v>
      </c>
      <c r="CD1987">
        <v>7530</v>
      </c>
      <c r="CE1987" t="s">
        <v>147</v>
      </c>
      <c r="CF1987" s="3">
        <v>45951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"080011650258"</f>
        <v>080011650258</v>
      </c>
      <c r="F1988" s="3">
        <v>45947</v>
      </c>
      <c r="G1988">
        <v>202607</v>
      </c>
      <c r="H1988" t="s">
        <v>92</v>
      </c>
      <c r="I1988" t="s">
        <v>93</v>
      </c>
      <c r="J1988" t="s">
        <v>2698</v>
      </c>
      <c r="K1988" t="s">
        <v>78</v>
      </c>
      <c r="L1988" t="s">
        <v>79</v>
      </c>
      <c r="M1988" t="s">
        <v>80</v>
      </c>
      <c r="N1988" t="s">
        <v>81</v>
      </c>
      <c r="O1988" t="s">
        <v>82</v>
      </c>
      <c r="P1988" t="str">
        <f>"ZA1001418536                  "</f>
        <v xml:space="preserve">ZA1001418536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33.520000000000003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3</v>
      </c>
      <c r="BJ1988">
        <v>2.4</v>
      </c>
      <c r="BK1988">
        <v>3</v>
      </c>
      <c r="BL1988">
        <v>106.4</v>
      </c>
      <c r="BM1988">
        <v>15.96</v>
      </c>
      <c r="BN1988">
        <v>122.36</v>
      </c>
      <c r="BO1988">
        <v>122.36</v>
      </c>
      <c r="BQ1988" t="s">
        <v>83</v>
      </c>
      <c r="BR1988" t="s">
        <v>2699</v>
      </c>
      <c r="BS1988" s="3">
        <v>45950</v>
      </c>
      <c r="BT1988" s="4">
        <v>0.34097222222222223</v>
      </c>
      <c r="BU1988" t="s">
        <v>85</v>
      </c>
      <c r="BV1988" t="s">
        <v>86</v>
      </c>
      <c r="BY1988">
        <v>12000</v>
      </c>
      <c r="BZ1988" t="s">
        <v>87</v>
      </c>
      <c r="CA1988" t="s">
        <v>88</v>
      </c>
      <c r="CC1988" t="s">
        <v>80</v>
      </c>
      <c r="CD1988">
        <v>1619</v>
      </c>
      <c r="CE1988" t="s">
        <v>89</v>
      </c>
      <c r="CF1988" s="3">
        <v>45950</v>
      </c>
      <c r="CI1988">
        <v>1</v>
      </c>
      <c r="CJ1988">
        <v>1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"080011651437"</f>
        <v>080011651437</v>
      </c>
      <c r="F1989" s="3">
        <v>45947</v>
      </c>
      <c r="G1989">
        <v>202607</v>
      </c>
      <c r="H1989" t="s">
        <v>223</v>
      </c>
      <c r="I1989" t="s">
        <v>224</v>
      </c>
      <c r="J1989" t="s">
        <v>2700</v>
      </c>
      <c r="K1989" t="s">
        <v>78</v>
      </c>
      <c r="L1989" t="s">
        <v>79</v>
      </c>
      <c r="M1989" t="s">
        <v>80</v>
      </c>
      <c r="N1989" t="s">
        <v>81</v>
      </c>
      <c r="O1989" t="s">
        <v>82</v>
      </c>
      <c r="P1989" t="str">
        <f>"ZA1001419390                  "</f>
        <v xml:space="preserve">ZA1001419390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17.46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</v>
      </c>
      <c r="BJ1989">
        <v>7.4</v>
      </c>
      <c r="BK1989">
        <v>8</v>
      </c>
      <c r="BL1989">
        <v>55.42</v>
      </c>
      <c r="BM1989">
        <v>8.31</v>
      </c>
      <c r="BN1989">
        <v>63.73</v>
      </c>
      <c r="BO1989">
        <v>63.73</v>
      </c>
      <c r="BP1989" t="s">
        <v>2701</v>
      </c>
      <c r="BQ1989" t="s">
        <v>83</v>
      </c>
      <c r="BR1989" t="s">
        <v>2702</v>
      </c>
      <c r="BS1989" s="3">
        <v>45950</v>
      </c>
      <c r="BT1989" s="4">
        <v>0.34097222222222223</v>
      </c>
      <c r="BU1989" t="s">
        <v>85</v>
      </c>
      <c r="BV1989" t="s">
        <v>86</v>
      </c>
      <c r="BY1989">
        <v>36890.85</v>
      </c>
      <c r="BZ1989" t="s">
        <v>87</v>
      </c>
      <c r="CA1989" t="s">
        <v>88</v>
      </c>
      <c r="CC1989" t="s">
        <v>80</v>
      </c>
      <c r="CD1989">
        <v>1619</v>
      </c>
      <c r="CE1989" t="s">
        <v>89</v>
      </c>
      <c r="CF1989" s="3">
        <v>45950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"080068587430"</f>
        <v>080068587430</v>
      </c>
      <c r="F1990" s="3">
        <v>45947</v>
      </c>
      <c r="G1990">
        <v>202607</v>
      </c>
      <c r="H1990" t="s">
        <v>79</v>
      </c>
      <c r="I1990" t="s">
        <v>80</v>
      </c>
      <c r="J1990" t="s">
        <v>91</v>
      </c>
      <c r="K1990" t="s">
        <v>78</v>
      </c>
      <c r="L1990" t="s">
        <v>148</v>
      </c>
      <c r="M1990" t="s">
        <v>149</v>
      </c>
      <c r="N1990" t="s">
        <v>849</v>
      </c>
      <c r="O1990" t="s">
        <v>82</v>
      </c>
      <c r="P1990" t="str">
        <f>"4170064366                    "</f>
        <v xml:space="preserve">4170064366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17.46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1.9</v>
      </c>
      <c r="BK1990">
        <v>2</v>
      </c>
      <c r="BL1990">
        <v>55.42</v>
      </c>
      <c r="BM1990">
        <v>8.31</v>
      </c>
      <c r="BN1990">
        <v>63.73</v>
      </c>
      <c r="BO1990">
        <v>63.73</v>
      </c>
      <c r="BQ1990" t="s">
        <v>850</v>
      </c>
      <c r="BR1990" t="s">
        <v>97</v>
      </c>
      <c r="BS1990" s="3">
        <v>45951</v>
      </c>
      <c r="BT1990" s="4">
        <v>0.43055555555555558</v>
      </c>
      <c r="BU1990" t="s">
        <v>851</v>
      </c>
      <c r="BV1990" t="s">
        <v>90</v>
      </c>
      <c r="BW1990" t="s">
        <v>188</v>
      </c>
      <c r="BX1990" t="s">
        <v>1471</v>
      </c>
      <c r="BY1990">
        <v>9600</v>
      </c>
      <c r="CA1990" t="s">
        <v>519</v>
      </c>
      <c r="CC1990" t="s">
        <v>149</v>
      </c>
      <c r="CD1990">
        <v>2094</v>
      </c>
      <c r="CE1990" t="s">
        <v>191</v>
      </c>
      <c r="CF1990" s="3">
        <v>45951</v>
      </c>
      <c r="CI1990">
        <v>1</v>
      </c>
      <c r="CJ1990">
        <v>2</v>
      </c>
      <c r="CK1990">
        <v>22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"009944473724"</f>
        <v>009944473724</v>
      </c>
      <c r="F1991" s="3">
        <v>45947</v>
      </c>
      <c r="G1991">
        <v>202607</v>
      </c>
      <c r="H1991" t="s">
        <v>206</v>
      </c>
      <c r="I1991" t="s">
        <v>207</v>
      </c>
      <c r="J1991" t="s">
        <v>1118</v>
      </c>
      <c r="K1991" t="s">
        <v>78</v>
      </c>
      <c r="L1991" t="s">
        <v>79</v>
      </c>
      <c r="M1991" t="s">
        <v>80</v>
      </c>
      <c r="N1991" t="s">
        <v>81</v>
      </c>
      <c r="O1991" t="s">
        <v>226</v>
      </c>
      <c r="P1991" t="str">
        <f>"                              "</f>
        <v xml:space="preserve">          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157.19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5.6</v>
      </c>
      <c r="BJ1991">
        <v>7.4</v>
      </c>
      <c r="BK1991">
        <v>7.5</v>
      </c>
      <c r="BL1991">
        <v>498.9</v>
      </c>
      <c r="BM1991">
        <v>74.84</v>
      </c>
      <c r="BN1991">
        <v>573.74</v>
      </c>
      <c r="BO1991">
        <v>573.74</v>
      </c>
      <c r="BP1991" t="s">
        <v>2703</v>
      </c>
      <c r="BQ1991" t="s">
        <v>1624</v>
      </c>
      <c r="BS1991" s="3">
        <v>45950</v>
      </c>
      <c r="BT1991" s="4">
        <v>0.34097222222222223</v>
      </c>
      <c r="BU1991" t="s">
        <v>85</v>
      </c>
      <c r="BV1991" t="s">
        <v>86</v>
      </c>
      <c r="BY1991">
        <v>37240</v>
      </c>
      <c r="BZ1991" t="s">
        <v>99</v>
      </c>
      <c r="CA1991" t="s">
        <v>88</v>
      </c>
      <c r="CC1991" t="s">
        <v>80</v>
      </c>
      <c r="CD1991">
        <v>1600</v>
      </c>
      <c r="CE1991" t="s">
        <v>89</v>
      </c>
      <c r="CF1991" s="3">
        <v>45950</v>
      </c>
      <c r="CI1991">
        <v>1</v>
      </c>
      <c r="CJ1991">
        <v>1</v>
      </c>
      <c r="CK1991">
        <v>31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"009944129711"</f>
        <v>009944129711</v>
      </c>
      <c r="F1992" s="3">
        <v>45947</v>
      </c>
      <c r="G1992">
        <v>202607</v>
      </c>
      <c r="H1992" t="s">
        <v>206</v>
      </c>
      <c r="I1992" t="s">
        <v>207</v>
      </c>
      <c r="J1992" t="s">
        <v>1118</v>
      </c>
      <c r="K1992" t="s">
        <v>78</v>
      </c>
      <c r="L1992" t="s">
        <v>108</v>
      </c>
      <c r="M1992" t="s">
        <v>109</v>
      </c>
      <c r="N1992" t="s">
        <v>2704</v>
      </c>
      <c r="O1992" t="s">
        <v>226</v>
      </c>
      <c r="P1992" t="str">
        <f>"                              "</f>
        <v xml:space="preserve">          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52.4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0.9</v>
      </c>
      <c r="BJ1992">
        <v>2.1</v>
      </c>
      <c r="BK1992">
        <v>2.5</v>
      </c>
      <c r="BL1992">
        <v>166.31</v>
      </c>
      <c r="BM1992">
        <v>24.95</v>
      </c>
      <c r="BN1992">
        <v>191.26</v>
      </c>
      <c r="BO1992">
        <v>191.26</v>
      </c>
      <c r="BQ1992" t="s">
        <v>2705</v>
      </c>
      <c r="BS1992" s="3">
        <v>45950</v>
      </c>
      <c r="BT1992" s="4">
        <v>0.46111111111111114</v>
      </c>
      <c r="BU1992" t="s">
        <v>2706</v>
      </c>
      <c r="BV1992" t="s">
        <v>86</v>
      </c>
      <c r="BY1992">
        <v>10430</v>
      </c>
      <c r="BZ1992" t="s">
        <v>99</v>
      </c>
      <c r="CA1992" t="s">
        <v>1137</v>
      </c>
      <c r="CC1992" t="s">
        <v>109</v>
      </c>
      <c r="CD1992">
        <v>6045</v>
      </c>
      <c r="CE1992" t="s">
        <v>89</v>
      </c>
      <c r="CF1992" s="3">
        <v>45950</v>
      </c>
      <c r="CI1992">
        <v>2</v>
      </c>
      <c r="CJ1992">
        <v>1</v>
      </c>
      <c r="CK1992">
        <v>31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"080068400980"</f>
        <v>080068400980</v>
      </c>
      <c r="F1993" s="3">
        <v>45938</v>
      </c>
      <c r="G1993">
        <v>202607</v>
      </c>
      <c r="H1993" t="s">
        <v>79</v>
      </c>
      <c r="I1993" t="s">
        <v>80</v>
      </c>
      <c r="J1993" t="s">
        <v>1944</v>
      </c>
      <c r="K1993" t="s">
        <v>78</v>
      </c>
      <c r="L1993" t="s">
        <v>350</v>
      </c>
      <c r="M1993" t="s">
        <v>351</v>
      </c>
      <c r="N1993" t="s">
        <v>2636</v>
      </c>
      <c r="O1993" t="s">
        <v>95</v>
      </c>
      <c r="P1993" t="str">
        <f>"4170063657                    "</f>
        <v xml:space="preserve">4170063657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60.97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13</v>
      </c>
      <c r="BJ1993">
        <v>4.0999999999999996</v>
      </c>
      <c r="BK1993">
        <v>13</v>
      </c>
      <c r="BL1993">
        <v>199.39</v>
      </c>
      <c r="BM1993">
        <v>29.91</v>
      </c>
      <c r="BN1993">
        <v>229.3</v>
      </c>
      <c r="BO1993">
        <v>229.3</v>
      </c>
      <c r="BQ1993" t="s">
        <v>2707</v>
      </c>
      <c r="BR1993" t="s">
        <v>1945</v>
      </c>
      <c r="BS1993" s="3">
        <v>45939</v>
      </c>
      <c r="BT1993" s="4">
        <v>0.41597222222222224</v>
      </c>
      <c r="BU1993" t="s">
        <v>2708</v>
      </c>
      <c r="BV1993" t="s">
        <v>86</v>
      </c>
      <c r="BY1993">
        <v>20358</v>
      </c>
      <c r="BZ1993" t="s">
        <v>2096</v>
      </c>
      <c r="CA1993" t="s">
        <v>2097</v>
      </c>
      <c r="CC1993" t="s">
        <v>351</v>
      </c>
      <c r="CD1993" s="5" t="s">
        <v>356</v>
      </c>
      <c r="CE1993" t="s">
        <v>101</v>
      </c>
      <c r="CF1993" s="3">
        <v>45940</v>
      </c>
      <c r="CI1993">
        <v>1</v>
      </c>
      <c r="CJ1993">
        <v>1</v>
      </c>
      <c r="CK1993">
        <v>43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"080068401448"</f>
        <v>080068401448</v>
      </c>
      <c r="F1994" s="3">
        <v>45938</v>
      </c>
      <c r="G1994">
        <v>202607</v>
      </c>
      <c r="H1994" t="s">
        <v>79</v>
      </c>
      <c r="I1994" t="s">
        <v>80</v>
      </c>
      <c r="J1994" t="s">
        <v>1944</v>
      </c>
      <c r="K1994" t="s">
        <v>78</v>
      </c>
      <c r="L1994" t="s">
        <v>350</v>
      </c>
      <c r="M1994" t="s">
        <v>351</v>
      </c>
      <c r="N1994" t="s">
        <v>352</v>
      </c>
      <c r="O1994" t="s">
        <v>95</v>
      </c>
      <c r="P1994" t="str">
        <f>"4170063648                    "</f>
        <v xml:space="preserve">4170063648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60.97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6</v>
      </c>
      <c r="BJ1994">
        <v>3.4</v>
      </c>
      <c r="BK1994">
        <v>6</v>
      </c>
      <c r="BL1994">
        <v>199.39</v>
      </c>
      <c r="BM1994">
        <v>29.91</v>
      </c>
      <c r="BN1994">
        <v>229.3</v>
      </c>
      <c r="BO1994">
        <v>229.3</v>
      </c>
      <c r="BQ1994" t="s">
        <v>2709</v>
      </c>
      <c r="BR1994" t="s">
        <v>1945</v>
      </c>
      <c r="BS1994" s="3">
        <v>45939</v>
      </c>
      <c r="BT1994" s="4">
        <v>0.43541666666666667</v>
      </c>
      <c r="BU1994" t="s">
        <v>2710</v>
      </c>
      <c r="BV1994" t="s">
        <v>86</v>
      </c>
      <c r="BY1994">
        <v>16965</v>
      </c>
      <c r="BZ1994" t="s">
        <v>2096</v>
      </c>
      <c r="CA1994" t="s">
        <v>2711</v>
      </c>
      <c r="CC1994" t="s">
        <v>351</v>
      </c>
      <c r="CD1994" s="5" t="s">
        <v>356</v>
      </c>
      <c r="CE1994" t="s">
        <v>101</v>
      </c>
      <c r="CF1994" s="3">
        <v>45940</v>
      </c>
      <c r="CI1994">
        <v>1</v>
      </c>
      <c r="CJ1994">
        <v>1</v>
      </c>
      <c r="CK1994">
        <v>43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"080068415111"</f>
        <v>080068415111</v>
      </c>
      <c r="F1995" s="3">
        <v>45939</v>
      </c>
      <c r="G1995">
        <v>202607</v>
      </c>
      <c r="H1995" t="s">
        <v>79</v>
      </c>
      <c r="I1995" t="s">
        <v>80</v>
      </c>
      <c r="J1995" t="s">
        <v>1944</v>
      </c>
      <c r="K1995" t="s">
        <v>78</v>
      </c>
      <c r="L1995" t="s">
        <v>1312</v>
      </c>
      <c r="M1995" t="s">
        <v>1313</v>
      </c>
      <c r="N1995" t="s">
        <v>1314</v>
      </c>
      <c r="O1995" t="s">
        <v>95</v>
      </c>
      <c r="P1995" t="str">
        <f>"4170063726                    "</f>
        <v xml:space="preserve">4170063726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47.74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2.6</v>
      </c>
      <c r="BK1995">
        <v>5</v>
      </c>
      <c r="BL1995">
        <v>157.4</v>
      </c>
      <c r="BM1995">
        <v>23.61</v>
      </c>
      <c r="BN1995">
        <v>181.01</v>
      </c>
      <c r="BO1995">
        <v>181.01</v>
      </c>
      <c r="BQ1995" t="s">
        <v>2712</v>
      </c>
      <c r="BR1995" t="s">
        <v>1945</v>
      </c>
      <c r="BS1995" s="3">
        <v>45940</v>
      </c>
      <c r="BT1995" s="4">
        <v>0.37291666666666667</v>
      </c>
      <c r="BU1995" t="s">
        <v>2713</v>
      </c>
      <c r="BV1995" t="s">
        <v>86</v>
      </c>
      <c r="BY1995">
        <v>12800</v>
      </c>
      <c r="BZ1995" t="s">
        <v>2096</v>
      </c>
      <c r="CA1995" t="s">
        <v>2714</v>
      </c>
      <c r="CC1995" t="s">
        <v>1313</v>
      </c>
      <c r="CD1995">
        <v>2410</v>
      </c>
      <c r="CE1995" t="s">
        <v>89</v>
      </c>
      <c r="CF1995" s="3">
        <v>45940</v>
      </c>
      <c r="CI1995">
        <v>1</v>
      </c>
      <c r="CJ1995">
        <v>1</v>
      </c>
      <c r="CK1995">
        <v>44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"080068415211"</f>
        <v>080068415211</v>
      </c>
      <c r="F1996" s="3">
        <v>45939</v>
      </c>
      <c r="G1996">
        <v>202607</v>
      </c>
      <c r="H1996" t="s">
        <v>79</v>
      </c>
      <c r="I1996" t="s">
        <v>80</v>
      </c>
      <c r="J1996" t="s">
        <v>91</v>
      </c>
      <c r="K1996" t="s">
        <v>78</v>
      </c>
      <c r="L1996" t="s">
        <v>1255</v>
      </c>
      <c r="M1996" t="s">
        <v>1256</v>
      </c>
      <c r="N1996" t="s">
        <v>1257</v>
      </c>
      <c r="O1996" t="s">
        <v>95</v>
      </c>
      <c r="P1996" t="str">
        <f>"4170063749                    "</f>
        <v xml:space="preserve">4170063749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60.97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2.4</v>
      </c>
      <c r="BJ1996">
        <v>6.3</v>
      </c>
      <c r="BK1996">
        <v>7</v>
      </c>
      <c r="BL1996">
        <v>199.39</v>
      </c>
      <c r="BM1996">
        <v>29.91</v>
      </c>
      <c r="BN1996">
        <v>229.3</v>
      </c>
      <c r="BO1996">
        <v>229.3</v>
      </c>
      <c r="BQ1996" t="s">
        <v>1258</v>
      </c>
      <c r="BR1996" t="s">
        <v>97</v>
      </c>
      <c r="BS1996" s="3">
        <v>45940</v>
      </c>
      <c r="BT1996" s="4">
        <v>0.72569444444444442</v>
      </c>
      <c r="BU1996" t="s">
        <v>2715</v>
      </c>
      <c r="BV1996" t="s">
        <v>86</v>
      </c>
      <c r="BY1996">
        <v>31398.639999999999</v>
      </c>
      <c r="BZ1996" t="s">
        <v>2096</v>
      </c>
      <c r="CA1996" t="s">
        <v>2716</v>
      </c>
      <c r="CC1996" t="s">
        <v>1256</v>
      </c>
      <c r="CD1996">
        <v>2309</v>
      </c>
      <c r="CE1996" t="s">
        <v>107</v>
      </c>
      <c r="CF1996" s="3">
        <v>45943</v>
      </c>
      <c r="CI1996">
        <v>1</v>
      </c>
      <c r="CJ1996">
        <v>1</v>
      </c>
      <c r="CK1996">
        <v>43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"080068422023"</f>
        <v>080068422023</v>
      </c>
      <c r="F1997" s="3">
        <v>45939</v>
      </c>
      <c r="G1997">
        <v>202607</v>
      </c>
      <c r="H1997" t="s">
        <v>79</v>
      </c>
      <c r="I1997" t="s">
        <v>80</v>
      </c>
      <c r="J1997" t="s">
        <v>1944</v>
      </c>
      <c r="K1997" t="s">
        <v>78</v>
      </c>
      <c r="L1997" t="s">
        <v>1765</v>
      </c>
      <c r="M1997" t="s">
        <v>1766</v>
      </c>
      <c r="N1997" t="s">
        <v>2717</v>
      </c>
      <c r="O1997" t="s">
        <v>95</v>
      </c>
      <c r="P1997" t="str">
        <f>"4170063767                    "</f>
        <v xml:space="preserve">4170063767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60.97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13.6</v>
      </c>
      <c r="BJ1997">
        <v>9.6999999999999993</v>
      </c>
      <c r="BK1997">
        <v>14</v>
      </c>
      <c r="BL1997">
        <v>199.39</v>
      </c>
      <c r="BM1997">
        <v>29.91</v>
      </c>
      <c r="BN1997">
        <v>229.3</v>
      </c>
      <c r="BO1997">
        <v>229.3</v>
      </c>
      <c r="BQ1997" t="s">
        <v>2718</v>
      </c>
      <c r="BR1997" t="s">
        <v>1945</v>
      </c>
      <c r="BS1997" s="3">
        <v>45940</v>
      </c>
      <c r="BT1997" s="4">
        <v>0.48472222222222222</v>
      </c>
      <c r="BU1997" t="s">
        <v>2719</v>
      </c>
      <c r="BV1997" t="s">
        <v>86</v>
      </c>
      <c r="BY1997">
        <v>48380.639999999999</v>
      </c>
      <c r="BZ1997" t="s">
        <v>2096</v>
      </c>
      <c r="CA1997" t="s">
        <v>2720</v>
      </c>
      <c r="CC1997" t="s">
        <v>1766</v>
      </c>
      <c r="CD1997">
        <v>1050</v>
      </c>
      <c r="CE1997" t="s">
        <v>101</v>
      </c>
      <c r="CF1997" s="3">
        <v>45943</v>
      </c>
      <c r="CI1997">
        <v>1</v>
      </c>
      <c r="CJ1997">
        <v>1</v>
      </c>
      <c r="CK1997">
        <v>43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"080068438246"</f>
        <v>080068438246</v>
      </c>
      <c r="F1998" s="3">
        <v>45940</v>
      </c>
      <c r="G1998">
        <v>202607</v>
      </c>
      <c r="H1998" t="s">
        <v>79</v>
      </c>
      <c r="I1998" t="s">
        <v>80</v>
      </c>
      <c r="J1998" t="s">
        <v>1944</v>
      </c>
      <c r="K1998" t="s">
        <v>78</v>
      </c>
      <c r="L1998" t="s">
        <v>350</v>
      </c>
      <c r="M1998" t="s">
        <v>351</v>
      </c>
      <c r="N1998" t="s">
        <v>2636</v>
      </c>
      <c r="O1998" t="s">
        <v>95</v>
      </c>
      <c r="P1998" t="str">
        <f>"4170063848                    "</f>
        <v xml:space="preserve">4170063848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60.97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8</v>
      </c>
      <c r="BJ1998">
        <v>9.4</v>
      </c>
      <c r="BK1998">
        <v>10</v>
      </c>
      <c r="BL1998">
        <v>199.39</v>
      </c>
      <c r="BM1998">
        <v>29.91</v>
      </c>
      <c r="BN1998">
        <v>229.3</v>
      </c>
      <c r="BO1998">
        <v>229.3</v>
      </c>
      <c r="BQ1998" t="s">
        <v>2707</v>
      </c>
      <c r="BR1998" t="s">
        <v>1945</v>
      </c>
      <c r="BS1998" s="3">
        <v>45943</v>
      </c>
      <c r="BT1998" s="4">
        <v>0.41111111111111109</v>
      </c>
      <c r="BU1998" t="s">
        <v>2235</v>
      </c>
      <c r="BV1998" t="s">
        <v>86</v>
      </c>
      <c r="BY1998">
        <v>47040</v>
      </c>
      <c r="BZ1998" t="s">
        <v>2096</v>
      </c>
      <c r="CA1998" t="s">
        <v>2097</v>
      </c>
      <c r="CC1998" t="s">
        <v>351</v>
      </c>
      <c r="CD1998" s="5" t="s">
        <v>356</v>
      </c>
      <c r="CE1998" t="s">
        <v>101</v>
      </c>
      <c r="CF1998" s="3">
        <v>45944</v>
      </c>
      <c r="CI1998">
        <v>1</v>
      </c>
      <c r="CJ1998">
        <v>1</v>
      </c>
      <c r="CK1998">
        <v>43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"080068511696"</f>
        <v>080068511696</v>
      </c>
      <c r="F1999" s="3">
        <v>45944</v>
      </c>
      <c r="G1999">
        <v>202607</v>
      </c>
      <c r="H1999" t="s">
        <v>79</v>
      </c>
      <c r="I1999" t="s">
        <v>80</v>
      </c>
      <c r="J1999" t="s">
        <v>1944</v>
      </c>
      <c r="K1999" t="s">
        <v>78</v>
      </c>
      <c r="L1999" t="s">
        <v>1312</v>
      </c>
      <c r="M1999" t="s">
        <v>1313</v>
      </c>
      <c r="N1999" t="s">
        <v>1314</v>
      </c>
      <c r="O1999" t="s">
        <v>95</v>
      </c>
      <c r="P1999" t="str">
        <f>"4170064189                    "</f>
        <v xml:space="preserve">4170064189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51.48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2</v>
      </c>
      <c r="BI1999">
        <v>18</v>
      </c>
      <c r="BJ1999">
        <v>10.3</v>
      </c>
      <c r="BK1999">
        <v>18</v>
      </c>
      <c r="BL1999">
        <v>169.27</v>
      </c>
      <c r="BM1999">
        <v>25.39</v>
      </c>
      <c r="BN1999">
        <v>194.66</v>
      </c>
      <c r="BO1999">
        <v>194.66</v>
      </c>
      <c r="BQ1999" t="s">
        <v>2712</v>
      </c>
      <c r="BR1999" t="s">
        <v>1945</v>
      </c>
      <c r="BS1999" s="3">
        <v>45945</v>
      </c>
      <c r="BT1999" s="4">
        <v>0.33958333333333335</v>
      </c>
      <c r="BU1999" t="s">
        <v>2187</v>
      </c>
      <c r="BV1999" t="s">
        <v>86</v>
      </c>
      <c r="BY1999">
        <v>25650</v>
      </c>
      <c r="BZ1999" t="s">
        <v>2096</v>
      </c>
      <c r="CA1999" t="s">
        <v>1318</v>
      </c>
      <c r="CC1999" t="s">
        <v>1313</v>
      </c>
      <c r="CD1999">
        <v>2410</v>
      </c>
      <c r="CE1999" t="s">
        <v>167</v>
      </c>
      <c r="CF1999" s="3">
        <v>45945</v>
      </c>
      <c r="CI1999">
        <v>1</v>
      </c>
      <c r="CJ1999">
        <v>1</v>
      </c>
      <c r="CK1999">
        <v>44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"080068515054"</f>
        <v>080068515054</v>
      </c>
      <c r="F2000" s="3">
        <v>45944</v>
      </c>
      <c r="G2000">
        <v>202607</v>
      </c>
      <c r="H2000" t="s">
        <v>79</v>
      </c>
      <c r="I2000" t="s">
        <v>80</v>
      </c>
      <c r="J2000" t="s">
        <v>1944</v>
      </c>
      <c r="K2000" t="s">
        <v>78</v>
      </c>
      <c r="L2000" t="s">
        <v>1246</v>
      </c>
      <c r="M2000" t="s">
        <v>1247</v>
      </c>
      <c r="N2000" t="s">
        <v>1248</v>
      </c>
      <c r="O2000" t="s">
        <v>95</v>
      </c>
      <c r="P2000" t="str">
        <f>"4170064164                    "</f>
        <v xml:space="preserve">4170064164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51.48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2</v>
      </c>
      <c r="BI2000">
        <v>18</v>
      </c>
      <c r="BJ2000">
        <v>6</v>
      </c>
      <c r="BK2000">
        <v>18</v>
      </c>
      <c r="BL2000">
        <v>169.27</v>
      </c>
      <c r="BM2000">
        <v>25.39</v>
      </c>
      <c r="BN2000">
        <v>194.66</v>
      </c>
      <c r="BO2000">
        <v>194.66</v>
      </c>
      <c r="BQ2000" t="s">
        <v>2721</v>
      </c>
      <c r="BR2000" t="s">
        <v>1945</v>
      </c>
      <c r="BS2000" s="3">
        <v>45945</v>
      </c>
      <c r="BT2000" s="4">
        <v>0.33611111111111114</v>
      </c>
      <c r="BU2000" t="s">
        <v>1250</v>
      </c>
      <c r="BV2000" t="s">
        <v>86</v>
      </c>
      <c r="BY2000">
        <v>15120</v>
      </c>
      <c r="BZ2000" t="s">
        <v>2096</v>
      </c>
      <c r="CA2000" t="s">
        <v>1251</v>
      </c>
      <c r="CC2000" t="s">
        <v>1247</v>
      </c>
      <c r="CD2000">
        <v>2210</v>
      </c>
      <c r="CE2000" t="s">
        <v>167</v>
      </c>
      <c r="CF2000" s="3">
        <v>45945</v>
      </c>
      <c r="CI2000">
        <v>1</v>
      </c>
      <c r="CJ2000">
        <v>1</v>
      </c>
      <c r="CK2000">
        <v>44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"080068515747"</f>
        <v>080068515747</v>
      </c>
      <c r="F2001" s="3">
        <v>45944</v>
      </c>
      <c r="G2001">
        <v>202607</v>
      </c>
      <c r="H2001" t="s">
        <v>79</v>
      </c>
      <c r="I2001" t="s">
        <v>80</v>
      </c>
      <c r="J2001" t="s">
        <v>91</v>
      </c>
      <c r="K2001" t="s">
        <v>78</v>
      </c>
      <c r="L2001" t="s">
        <v>350</v>
      </c>
      <c r="M2001" t="s">
        <v>351</v>
      </c>
      <c r="N2001" t="s">
        <v>2636</v>
      </c>
      <c r="O2001" t="s">
        <v>95</v>
      </c>
      <c r="P2001" t="str">
        <f>"4170064244                    "</f>
        <v xml:space="preserve">4170064244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60.97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3.5</v>
      </c>
      <c r="BK2001">
        <v>4</v>
      </c>
      <c r="BL2001">
        <v>199.39</v>
      </c>
      <c r="BM2001">
        <v>29.91</v>
      </c>
      <c r="BN2001">
        <v>229.3</v>
      </c>
      <c r="BO2001">
        <v>229.3</v>
      </c>
      <c r="BQ2001" t="s">
        <v>2637</v>
      </c>
      <c r="BR2001" t="s">
        <v>97</v>
      </c>
      <c r="BS2001" s="3">
        <v>45945</v>
      </c>
      <c r="BT2001" s="4">
        <v>0.39791666666666664</v>
      </c>
      <c r="BU2001" t="s">
        <v>2722</v>
      </c>
      <c r="BV2001" t="s">
        <v>86</v>
      </c>
      <c r="BY2001">
        <v>17360</v>
      </c>
      <c r="BZ2001" t="s">
        <v>2096</v>
      </c>
      <c r="CA2001" t="s">
        <v>2104</v>
      </c>
      <c r="CC2001" t="s">
        <v>351</v>
      </c>
      <c r="CD2001" s="5" t="s">
        <v>356</v>
      </c>
      <c r="CE2001" t="s">
        <v>107</v>
      </c>
      <c r="CF2001" s="3">
        <v>45946</v>
      </c>
      <c r="CI2001">
        <v>1</v>
      </c>
      <c r="CJ2001">
        <v>1</v>
      </c>
      <c r="CK2001">
        <v>43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"080068516142"</f>
        <v>080068516142</v>
      </c>
      <c r="F2002" s="3">
        <v>45944</v>
      </c>
      <c r="G2002">
        <v>202607</v>
      </c>
      <c r="H2002" t="s">
        <v>79</v>
      </c>
      <c r="I2002" t="s">
        <v>80</v>
      </c>
      <c r="J2002" t="s">
        <v>1944</v>
      </c>
      <c r="K2002" t="s">
        <v>78</v>
      </c>
      <c r="L2002" t="s">
        <v>350</v>
      </c>
      <c r="M2002" t="s">
        <v>351</v>
      </c>
      <c r="N2002" t="s">
        <v>2636</v>
      </c>
      <c r="O2002" t="s">
        <v>95</v>
      </c>
      <c r="P2002" t="str">
        <f>"4170064271                    "</f>
        <v xml:space="preserve">4170064271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60.97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7.7</v>
      </c>
      <c r="BJ2002">
        <v>9.1999999999999993</v>
      </c>
      <c r="BK2002">
        <v>10</v>
      </c>
      <c r="BL2002">
        <v>199.39</v>
      </c>
      <c r="BM2002">
        <v>29.91</v>
      </c>
      <c r="BN2002">
        <v>229.3</v>
      </c>
      <c r="BO2002">
        <v>229.3</v>
      </c>
      <c r="BQ2002" t="s">
        <v>2707</v>
      </c>
      <c r="BR2002" t="s">
        <v>1945</v>
      </c>
      <c r="BS2002" s="3">
        <v>45945</v>
      </c>
      <c r="BT2002" s="4">
        <v>0.41736111111111113</v>
      </c>
      <c r="BU2002" t="s">
        <v>2723</v>
      </c>
      <c r="BV2002" t="s">
        <v>86</v>
      </c>
      <c r="BY2002">
        <v>45799.11</v>
      </c>
      <c r="BZ2002" t="s">
        <v>2096</v>
      </c>
      <c r="CA2002" t="s">
        <v>146</v>
      </c>
      <c r="CC2002" t="s">
        <v>351</v>
      </c>
      <c r="CD2002" s="5" t="s">
        <v>356</v>
      </c>
      <c r="CE2002" t="s">
        <v>101</v>
      </c>
      <c r="CF2002" s="3">
        <v>45946</v>
      </c>
      <c r="CI2002">
        <v>1</v>
      </c>
      <c r="CJ2002">
        <v>1</v>
      </c>
      <c r="CK2002">
        <v>43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"080068516293"</f>
        <v>080068516293</v>
      </c>
      <c r="F2003" s="3">
        <v>45944</v>
      </c>
      <c r="G2003">
        <v>202607</v>
      </c>
      <c r="H2003" t="s">
        <v>79</v>
      </c>
      <c r="I2003" t="s">
        <v>80</v>
      </c>
      <c r="J2003" t="s">
        <v>91</v>
      </c>
      <c r="K2003" t="s">
        <v>78</v>
      </c>
      <c r="L2003" t="s">
        <v>300</v>
      </c>
      <c r="M2003" t="s">
        <v>301</v>
      </c>
      <c r="N2003" t="s">
        <v>335</v>
      </c>
      <c r="O2003" t="s">
        <v>95</v>
      </c>
      <c r="P2003" t="str">
        <f>"4170064274                    "</f>
        <v xml:space="preserve">4170064274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47.74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10</v>
      </c>
      <c r="BJ2003">
        <v>9.6</v>
      </c>
      <c r="BK2003">
        <v>10</v>
      </c>
      <c r="BL2003">
        <v>157.4</v>
      </c>
      <c r="BM2003">
        <v>23.61</v>
      </c>
      <c r="BN2003">
        <v>181.01</v>
      </c>
      <c r="BO2003">
        <v>181.01</v>
      </c>
      <c r="BQ2003" t="s">
        <v>475</v>
      </c>
      <c r="BR2003" t="s">
        <v>97</v>
      </c>
      <c r="BS2003" s="3">
        <v>45945</v>
      </c>
      <c r="BT2003" s="4">
        <v>0.3923611111111111</v>
      </c>
      <c r="BU2003" t="s">
        <v>2724</v>
      </c>
      <c r="BV2003" t="s">
        <v>86</v>
      </c>
      <c r="BY2003">
        <v>48000</v>
      </c>
      <c r="BZ2003" t="s">
        <v>2096</v>
      </c>
      <c r="CA2003" t="s">
        <v>974</v>
      </c>
      <c r="CC2003" t="s">
        <v>301</v>
      </c>
      <c r="CD2003">
        <v>1754</v>
      </c>
      <c r="CE2003" t="s">
        <v>101</v>
      </c>
      <c r="CF2003" s="3">
        <v>45946</v>
      </c>
      <c r="CI2003">
        <v>1</v>
      </c>
      <c r="CJ2003">
        <v>1</v>
      </c>
      <c r="CK2003">
        <v>44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"080068532841"</f>
        <v>080068532841</v>
      </c>
      <c r="F2004" s="3">
        <v>45945</v>
      </c>
      <c r="G2004">
        <v>202607</v>
      </c>
      <c r="H2004" t="s">
        <v>79</v>
      </c>
      <c r="I2004" t="s">
        <v>80</v>
      </c>
      <c r="J2004" t="s">
        <v>91</v>
      </c>
      <c r="K2004" t="s">
        <v>78</v>
      </c>
      <c r="L2004" t="s">
        <v>350</v>
      </c>
      <c r="M2004" t="s">
        <v>351</v>
      </c>
      <c r="N2004" t="s">
        <v>2636</v>
      </c>
      <c r="O2004" t="s">
        <v>95</v>
      </c>
      <c r="P2004" t="str">
        <f>"4170064339                    "</f>
        <v xml:space="preserve">4170064339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60.97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3.2</v>
      </c>
      <c r="BJ2004">
        <v>0.8</v>
      </c>
      <c r="BK2004">
        <v>4</v>
      </c>
      <c r="BL2004">
        <v>199.39</v>
      </c>
      <c r="BM2004">
        <v>29.91</v>
      </c>
      <c r="BN2004">
        <v>229.3</v>
      </c>
      <c r="BO2004">
        <v>229.3</v>
      </c>
      <c r="BQ2004" t="s">
        <v>2637</v>
      </c>
      <c r="BR2004" t="s">
        <v>97</v>
      </c>
      <c r="BS2004" s="3">
        <v>45946</v>
      </c>
      <c r="BT2004" s="4">
        <v>0.40347222222222223</v>
      </c>
      <c r="BU2004" t="s">
        <v>2725</v>
      </c>
      <c r="BV2004" t="s">
        <v>86</v>
      </c>
      <c r="BY2004">
        <v>4213.26</v>
      </c>
      <c r="BZ2004" t="s">
        <v>2096</v>
      </c>
      <c r="CC2004" t="s">
        <v>351</v>
      </c>
      <c r="CD2004" s="5" t="s">
        <v>356</v>
      </c>
      <c r="CE2004" t="s">
        <v>101</v>
      </c>
      <c r="CF2004" s="3">
        <v>45947</v>
      </c>
      <c r="CI2004">
        <v>1</v>
      </c>
      <c r="CJ2004">
        <v>1</v>
      </c>
      <c r="CK2004">
        <v>43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"080068538072"</f>
        <v>080068538072</v>
      </c>
      <c r="F2005" s="3">
        <v>45945</v>
      </c>
      <c r="G2005">
        <v>202607</v>
      </c>
      <c r="H2005" t="s">
        <v>79</v>
      </c>
      <c r="I2005" t="s">
        <v>80</v>
      </c>
      <c r="J2005" t="s">
        <v>91</v>
      </c>
      <c r="K2005" t="s">
        <v>78</v>
      </c>
      <c r="L2005" t="s">
        <v>1008</v>
      </c>
      <c r="M2005" t="s">
        <v>1009</v>
      </c>
      <c r="N2005" t="s">
        <v>1010</v>
      </c>
      <c r="O2005" t="s">
        <v>95</v>
      </c>
      <c r="P2005" t="str">
        <f>"4170064324                    "</f>
        <v xml:space="preserve">4170064324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48.99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15.8</v>
      </c>
      <c r="BJ2005">
        <v>8.3000000000000007</v>
      </c>
      <c r="BK2005">
        <v>16</v>
      </c>
      <c r="BL2005">
        <v>161.36000000000001</v>
      </c>
      <c r="BM2005">
        <v>24.2</v>
      </c>
      <c r="BN2005">
        <v>185.56</v>
      </c>
      <c r="BO2005">
        <v>185.56</v>
      </c>
      <c r="BQ2005" t="s">
        <v>1011</v>
      </c>
      <c r="BR2005" t="s">
        <v>97</v>
      </c>
      <c r="BS2005" s="3">
        <v>45946</v>
      </c>
      <c r="BT2005" s="4">
        <v>0.27083333333333331</v>
      </c>
      <c r="BU2005" t="s">
        <v>2726</v>
      </c>
      <c r="BV2005" t="s">
        <v>86</v>
      </c>
      <c r="BY2005">
        <v>41721.599999999999</v>
      </c>
      <c r="BZ2005" t="s">
        <v>2096</v>
      </c>
      <c r="CA2005" t="s">
        <v>2194</v>
      </c>
      <c r="CC2005" t="s">
        <v>1009</v>
      </c>
      <c r="CD2005">
        <v>1759</v>
      </c>
      <c r="CE2005" t="s">
        <v>101</v>
      </c>
      <c r="CF2005" s="3">
        <v>45946</v>
      </c>
      <c r="CI2005">
        <v>1</v>
      </c>
      <c r="CJ2005">
        <v>1</v>
      </c>
      <c r="CK2005">
        <v>44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"080068543286"</f>
        <v>080068543286</v>
      </c>
      <c r="F2006" s="3">
        <v>45945</v>
      </c>
      <c r="G2006">
        <v>202607</v>
      </c>
      <c r="H2006" t="s">
        <v>79</v>
      </c>
      <c r="I2006" t="s">
        <v>80</v>
      </c>
      <c r="J2006" t="s">
        <v>91</v>
      </c>
      <c r="K2006" t="s">
        <v>78</v>
      </c>
      <c r="L2006" t="s">
        <v>259</v>
      </c>
      <c r="M2006" t="s">
        <v>260</v>
      </c>
      <c r="N2006" t="s">
        <v>261</v>
      </c>
      <c r="O2006" t="s">
        <v>95</v>
      </c>
      <c r="P2006" t="str">
        <f>"4170064497                    "</f>
        <v xml:space="preserve">4170064497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60.97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5.8</v>
      </c>
      <c r="BJ2006">
        <v>3.5</v>
      </c>
      <c r="BK2006">
        <v>6</v>
      </c>
      <c r="BL2006">
        <v>199.39</v>
      </c>
      <c r="BM2006">
        <v>29.91</v>
      </c>
      <c r="BN2006">
        <v>229.3</v>
      </c>
      <c r="BO2006">
        <v>229.3</v>
      </c>
      <c r="BQ2006" t="s">
        <v>262</v>
      </c>
      <c r="BR2006" t="s">
        <v>97</v>
      </c>
      <c r="BS2006" s="3">
        <v>45946</v>
      </c>
      <c r="BT2006" s="4">
        <v>0.59097222222222223</v>
      </c>
      <c r="BU2006" t="s">
        <v>2492</v>
      </c>
      <c r="BV2006" t="s">
        <v>86</v>
      </c>
      <c r="BY2006">
        <v>17334.36</v>
      </c>
      <c r="BZ2006" t="s">
        <v>2096</v>
      </c>
      <c r="CA2006" t="s">
        <v>264</v>
      </c>
      <c r="CC2006" t="s">
        <v>260</v>
      </c>
      <c r="CD2006">
        <v>2380</v>
      </c>
      <c r="CE2006" t="s">
        <v>107</v>
      </c>
      <c r="CF2006" s="3">
        <v>45947</v>
      </c>
      <c r="CI2006">
        <v>1</v>
      </c>
      <c r="CJ2006">
        <v>1</v>
      </c>
      <c r="CK2006">
        <v>43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"080068560324"</f>
        <v>080068560324</v>
      </c>
      <c r="F2007" s="3">
        <v>45946</v>
      </c>
      <c r="G2007">
        <v>202607</v>
      </c>
      <c r="H2007" t="s">
        <v>79</v>
      </c>
      <c r="I2007" t="s">
        <v>80</v>
      </c>
      <c r="J2007" t="s">
        <v>91</v>
      </c>
      <c r="K2007" t="s">
        <v>78</v>
      </c>
      <c r="L2007" t="s">
        <v>300</v>
      </c>
      <c r="M2007" t="s">
        <v>301</v>
      </c>
      <c r="N2007" t="s">
        <v>335</v>
      </c>
      <c r="O2007" t="s">
        <v>95</v>
      </c>
      <c r="P2007" t="str">
        <f>"4170064577                    "</f>
        <v xml:space="preserve">4170064577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47.74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7</v>
      </c>
      <c r="BJ2007">
        <v>4.5</v>
      </c>
      <c r="BK2007">
        <v>7</v>
      </c>
      <c r="BL2007">
        <v>157.4</v>
      </c>
      <c r="BM2007">
        <v>23.61</v>
      </c>
      <c r="BN2007">
        <v>181.01</v>
      </c>
      <c r="BO2007">
        <v>181.01</v>
      </c>
      <c r="BQ2007" t="s">
        <v>475</v>
      </c>
      <c r="BR2007" t="s">
        <v>97</v>
      </c>
      <c r="BS2007" s="3">
        <v>45947</v>
      </c>
      <c r="BT2007" s="4">
        <v>0.42569444444444443</v>
      </c>
      <c r="BU2007" t="s">
        <v>1792</v>
      </c>
      <c r="BV2007" t="s">
        <v>86</v>
      </c>
      <c r="BY2007">
        <v>22500</v>
      </c>
      <c r="BZ2007" t="s">
        <v>2096</v>
      </c>
      <c r="CA2007" t="s">
        <v>974</v>
      </c>
      <c r="CC2007" t="s">
        <v>301</v>
      </c>
      <c r="CD2007">
        <v>1754</v>
      </c>
      <c r="CE2007" t="s">
        <v>2727</v>
      </c>
      <c r="CF2007" s="3">
        <v>45947</v>
      </c>
      <c r="CI2007">
        <v>1</v>
      </c>
      <c r="CJ2007">
        <v>1</v>
      </c>
      <c r="CK2007">
        <v>44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"080068563918"</f>
        <v>080068563918</v>
      </c>
      <c r="F2008" s="3">
        <v>45946</v>
      </c>
      <c r="G2008">
        <v>202607</v>
      </c>
      <c r="H2008" t="s">
        <v>79</v>
      </c>
      <c r="I2008" t="s">
        <v>80</v>
      </c>
      <c r="J2008" t="s">
        <v>91</v>
      </c>
      <c r="K2008" t="s">
        <v>78</v>
      </c>
      <c r="L2008" t="s">
        <v>239</v>
      </c>
      <c r="M2008" t="s">
        <v>240</v>
      </c>
      <c r="N2008" t="s">
        <v>526</v>
      </c>
      <c r="O2008" t="s">
        <v>95</v>
      </c>
      <c r="P2008" t="str">
        <f>"4170064582                    "</f>
        <v xml:space="preserve">4170064582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60.97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4.5</v>
      </c>
      <c r="BJ2008">
        <v>2.2999999999999998</v>
      </c>
      <c r="BK2008">
        <v>5</v>
      </c>
      <c r="BL2008">
        <v>199.39</v>
      </c>
      <c r="BM2008">
        <v>29.91</v>
      </c>
      <c r="BN2008">
        <v>229.3</v>
      </c>
      <c r="BO2008">
        <v>229.3</v>
      </c>
      <c r="BQ2008" t="s">
        <v>527</v>
      </c>
      <c r="BR2008" t="s">
        <v>97</v>
      </c>
      <c r="BS2008" s="3">
        <v>45947</v>
      </c>
      <c r="BT2008" s="4">
        <v>0.40833333333333333</v>
      </c>
      <c r="BU2008" t="s">
        <v>2728</v>
      </c>
      <c r="BV2008" t="s">
        <v>86</v>
      </c>
      <c r="BY2008">
        <v>11471.22</v>
      </c>
      <c r="BZ2008" t="s">
        <v>2096</v>
      </c>
      <c r="CA2008" t="s">
        <v>529</v>
      </c>
      <c r="CC2008" t="s">
        <v>240</v>
      </c>
      <c r="CD2008" s="5" t="s">
        <v>245</v>
      </c>
      <c r="CE2008" t="s">
        <v>107</v>
      </c>
      <c r="CF2008" s="3">
        <v>45950</v>
      </c>
      <c r="CI2008">
        <v>1</v>
      </c>
      <c r="CJ2008">
        <v>1</v>
      </c>
      <c r="CK2008">
        <v>43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"080068566252"</f>
        <v>080068566252</v>
      </c>
      <c r="F2009" s="3">
        <v>45946</v>
      </c>
      <c r="G2009">
        <v>202607</v>
      </c>
      <c r="H2009" t="s">
        <v>79</v>
      </c>
      <c r="I2009" t="s">
        <v>80</v>
      </c>
      <c r="J2009" t="s">
        <v>91</v>
      </c>
      <c r="K2009" t="s">
        <v>78</v>
      </c>
      <c r="L2009" t="s">
        <v>605</v>
      </c>
      <c r="M2009" t="s">
        <v>606</v>
      </c>
      <c r="N2009" t="s">
        <v>2098</v>
      </c>
      <c r="O2009" t="s">
        <v>95</v>
      </c>
      <c r="P2009" t="str">
        <f>"4170064506                    "</f>
        <v xml:space="preserve">4170064506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60.97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3.1</v>
      </c>
      <c r="BK2009">
        <v>4</v>
      </c>
      <c r="BL2009">
        <v>199.39</v>
      </c>
      <c r="BM2009">
        <v>29.91</v>
      </c>
      <c r="BN2009">
        <v>229.3</v>
      </c>
      <c r="BO2009">
        <v>229.3</v>
      </c>
      <c r="BQ2009" t="s">
        <v>2099</v>
      </c>
      <c r="BR2009" t="s">
        <v>97</v>
      </c>
      <c r="BS2009" s="3">
        <v>45947</v>
      </c>
      <c r="BT2009" s="4">
        <v>0.36319444444444443</v>
      </c>
      <c r="BU2009" t="s">
        <v>1094</v>
      </c>
      <c r="BV2009" t="s">
        <v>86</v>
      </c>
      <c r="BY2009">
        <v>15360</v>
      </c>
      <c r="BZ2009" t="s">
        <v>2096</v>
      </c>
      <c r="CA2009" t="s">
        <v>1143</v>
      </c>
      <c r="CC2009" t="s">
        <v>606</v>
      </c>
      <c r="CD2009">
        <v>1947</v>
      </c>
      <c r="CE2009" t="s">
        <v>101</v>
      </c>
      <c r="CF2009" s="3">
        <v>45947</v>
      </c>
      <c r="CI2009">
        <v>1</v>
      </c>
      <c r="CJ2009">
        <v>1</v>
      </c>
      <c r="CK2009">
        <v>43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"080068567748"</f>
        <v>080068567748</v>
      </c>
      <c r="F2010" s="3">
        <v>45946</v>
      </c>
      <c r="G2010">
        <v>202607</v>
      </c>
      <c r="H2010" t="s">
        <v>79</v>
      </c>
      <c r="I2010" t="s">
        <v>80</v>
      </c>
      <c r="J2010" t="s">
        <v>91</v>
      </c>
      <c r="K2010" t="s">
        <v>78</v>
      </c>
      <c r="L2010" t="s">
        <v>148</v>
      </c>
      <c r="M2010" t="s">
        <v>149</v>
      </c>
      <c r="N2010" t="s">
        <v>911</v>
      </c>
      <c r="O2010" t="s">
        <v>95</v>
      </c>
      <c r="P2010" t="str">
        <f>"4170064609                    "</f>
        <v xml:space="preserve">4170064609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43.23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16.739999999999998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6</v>
      </c>
      <c r="BJ2010">
        <v>7.7</v>
      </c>
      <c r="BK2010">
        <v>8</v>
      </c>
      <c r="BL2010">
        <v>159.82</v>
      </c>
      <c r="BM2010">
        <v>23.97</v>
      </c>
      <c r="BN2010">
        <v>183.79</v>
      </c>
      <c r="BO2010">
        <v>183.79</v>
      </c>
      <c r="BQ2010" t="s">
        <v>912</v>
      </c>
      <c r="BR2010" t="s">
        <v>97</v>
      </c>
      <c r="BS2010" s="3">
        <v>45947</v>
      </c>
      <c r="BT2010" s="4">
        <v>0.53125</v>
      </c>
      <c r="BU2010" t="s">
        <v>2729</v>
      </c>
      <c r="BV2010" t="s">
        <v>86</v>
      </c>
      <c r="BY2010">
        <v>38584</v>
      </c>
      <c r="BZ2010" t="s">
        <v>500</v>
      </c>
      <c r="CC2010" t="s">
        <v>149</v>
      </c>
      <c r="CD2010">
        <v>1832</v>
      </c>
      <c r="CE2010" t="s">
        <v>107</v>
      </c>
      <c r="CF2010" s="3">
        <v>45950</v>
      </c>
      <c r="CI2010">
        <v>0</v>
      </c>
      <c r="CJ2010">
        <v>0</v>
      </c>
      <c r="CK2010">
        <v>41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"080068616581"</f>
        <v>080068616581</v>
      </c>
      <c r="F2011" s="3">
        <v>45950</v>
      </c>
      <c r="G2011">
        <v>202607</v>
      </c>
      <c r="H2011" t="s">
        <v>79</v>
      </c>
      <c r="I2011" t="s">
        <v>80</v>
      </c>
      <c r="J2011" t="s">
        <v>91</v>
      </c>
      <c r="K2011" t="s">
        <v>78</v>
      </c>
      <c r="L2011" t="s">
        <v>206</v>
      </c>
      <c r="M2011" t="s">
        <v>207</v>
      </c>
      <c r="N2011" t="s">
        <v>458</v>
      </c>
      <c r="O2011" t="s">
        <v>82</v>
      </c>
      <c r="P2011" t="str">
        <f>"4170065020                    "</f>
        <v xml:space="preserve">4170065020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22.36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70.959999999999994</v>
      </c>
      <c r="BM2011">
        <v>10.64</v>
      </c>
      <c r="BN2011">
        <v>81.599999999999994</v>
      </c>
      <c r="BO2011">
        <v>81.599999999999994</v>
      </c>
      <c r="BQ2011" t="s">
        <v>459</v>
      </c>
      <c r="BR2011" t="s">
        <v>97</v>
      </c>
      <c r="BS2011" s="3">
        <v>45951</v>
      </c>
      <c r="BT2011" s="4">
        <v>0.41805555555555557</v>
      </c>
      <c r="BU2011" t="s">
        <v>1036</v>
      </c>
      <c r="BV2011" t="s">
        <v>86</v>
      </c>
      <c r="BY2011">
        <v>1200</v>
      </c>
      <c r="CA2011" t="s">
        <v>461</v>
      </c>
      <c r="CC2011" t="s">
        <v>207</v>
      </c>
      <c r="CD2011">
        <v>7535</v>
      </c>
      <c r="CE2011" t="s">
        <v>147</v>
      </c>
      <c r="CF2011" s="3">
        <v>45952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"080068616583"</f>
        <v>080068616583</v>
      </c>
      <c r="F2012" s="3">
        <v>45950</v>
      </c>
      <c r="G2012">
        <v>202607</v>
      </c>
      <c r="H2012" t="s">
        <v>79</v>
      </c>
      <c r="I2012" t="s">
        <v>80</v>
      </c>
      <c r="J2012" t="s">
        <v>91</v>
      </c>
      <c r="K2012" t="s">
        <v>78</v>
      </c>
      <c r="L2012" t="s">
        <v>223</v>
      </c>
      <c r="M2012" t="s">
        <v>224</v>
      </c>
      <c r="N2012" t="s">
        <v>1671</v>
      </c>
      <c r="O2012" t="s">
        <v>82</v>
      </c>
      <c r="P2012" t="str">
        <f>"4170064843                    "</f>
        <v xml:space="preserve">4170064843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17.46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0.5</v>
      </c>
      <c r="BJ2012">
        <v>1.5</v>
      </c>
      <c r="BK2012">
        <v>2</v>
      </c>
      <c r="BL2012">
        <v>55.42</v>
      </c>
      <c r="BM2012">
        <v>8.31</v>
      </c>
      <c r="BN2012">
        <v>63.73</v>
      </c>
      <c r="BO2012">
        <v>63.73</v>
      </c>
      <c r="BQ2012" t="s">
        <v>1672</v>
      </c>
      <c r="BR2012" t="s">
        <v>97</v>
      </c>
      <c r="BS2012" s="3">
        <v>45951</v>
      </c>
      <c r="BT2012" s="4">
        <v>0.35347222222222224</v>
      </c>
      <c r="BU2012" t="s">
        <v>2730</v>
      </c>
      <c r="BV2012" t="s">
        <v>86</v>
      </c>
      <c r="BY2012">
        <v>7620.93</v>
      </c>
      <c r="CA2012" t="s">
        <v>508</v>
      </c>
      <c r="CC2012" t="s">
        <v>224</v>
      </c>
      <c r="CD2012">
        <v>1459</v>
      </c>
      <c r="CE2012" t="s">
        <v>147</v>
      </c>
      <c r="CF2012" s="3">
        <v>45951</v>
      </c>
      <c r="CI2012">
        <v>1</v>
      </c>
      <c r="CJ2012">
        <v>1</v>
      </c>
      <c r="CK2012">
        <v>22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"080068616618"</f>
        <v>080068616618</v>
      </c>
      <c r="F2013" s="3">
        <v>45950</v>
      </c>
      <c r="G2013">
        <v>202607</v>
      </c>
      <c r="H2013" t="s">
        <v>79</v>
      </c>
      <c r="I2013" t="s">
        <v>80</v>
      </c>
      <c r="J2013" t="s">
        <v>91</v>
      </c>
      <c r="K2013" t="s">
        <v>78</v>
      </c>
      <c r="L2013" t="s">
        <v>233</v>
      </c>
      <c r="M2013" t="s">
        <v>234</v>
      </c>
      <c r="N2013" t="s">
        <v>908</v>
      </c>
      <c r="O2013" t="s">
        <v>82</v>
      </c>
      <c r="P2013" t="str">
        <f>"4170064868                    "</f>
        <v xml:space="preserve">4170064868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22.36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70.959999999999994</v>
      </c>
      <c r="BM2013">
        <v>10.64</v>
      </c>
      <c r="BN2013">
        <v>81.599999999999994</v>
      </c>
      <c r="BO2013">
        <v>81.599999999999994</v>
      </c>
      <c r="BQ2013" t="s">
        <v>909</v>
      </c>
      <c r="BR2013" t="s">
        <v>97</v>
      </c>
      <c r="BS2013" s="3">
        <v>45951</v>
      </c>
      <c r="BT2013" s="4">
        <v>0.31874999999999998</v>
      </c>
      <c r="BU2013" t="s">
        <v>1275</v>
      </c>
      <c r="BV2013" t="s">
        <v>86</v>
      </c>
      <c r="BY2013">
        <v>1200</v>
      </c>
      <c r="CA2013">
        <v>7712195338085</v>
      </c>
      <c r="CC2013" t="s">
        <v>234</v>
      </c>
      <c r="CD2013" s="5" t="s">
        <v>238</v>
      </c>
      <c r="CE2013" t="s">
        <v>147</v>
      </c>
      <c r="CF2013" s="3">
        <v>45951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"080068616646"</f>
        <v>080068616646</v>
      </c>
      <c r="F2014" s="3">
        <v>45950</v>
      </c>
      <c r="G2014">
        <v>202607</v>
      </c>
      <c r="H2014" t="s">
        <v>79</v>
      </c>
      <c r="I2014" t="s">
        <v>80</v>
      </c>
      <c r="J2014" t="s">
        <v>91</v>
      </c>
      <c r="K2014" t="s">
        <v>78</v>
      </c>
      <c r="L2014" t="s">
        <v>453</v>
      </c>
      <c r="M2014" t="s">
        <v>454</v>
      </c>
      <c r="N2014" t="s">
        <v>1223</v>
      </c>
      <c r="O2014" t="s">
        <v>82</v>
      </c>
      <c r="P2014" t="str">
        <f>"4170065049                    "</f>
        <v xml:space="preserve">4170065049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22.36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70.959999999999994</v>
      </c>
      <c r="BM2014">
        <v>10.64</v>
      </c>
      <c r="BN2014">
        <v>81.599999999999994</v>
      </c>
      <c r="BO2014">
        <v>81.599999999999994</v>
      </c>
      <c r="BQ2014" t="s">
        <v>1224</v>
      </c>
      <c r="BR2014" t="s">
        <v>97</v>
      </c>
      <c r="BS2014" s="3">
        <v>45951</v>
      </c>
      <c r="BT2014" s="4">
        <v>0.41944444444444445</v>
      </c>
      <c r="BU2014" t="s">
        <v>2731</v>
      </c>
      <c r="BV2014" t="s">
        <v>86</v>
      </c>
      <c r="BY2014">
        <v>1200</v>
      </c>
      <c r="CA2014" t="s">
        <v>742</v>
      </c>
      <c r="CC2014" t="s">
        <v>454</v>
      </c>
      <c r="CD2014">
        <v>3610</v>
      </c>
      <c r="CE2014" t="s">
        <v>147</v>
      </c>
      <c r="CF2014" s="3">
        <v>45951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"080068616687"</f>
        <v>080068616687</v>
      </c>
      <c r="F2015" s="3">
        <v>45950</v>
      </c>
      <c r="G2015">
        <v>202607</v>
      </c>
      <c r="H2015" t="s">
        <v>79</v>
      </c>
      <c r="I2015" t="s">
        <v>80</v>
      </c>
      <c r="J2015" t="s">
        <v>91</v>
      </c>
      <c r="K2015" t="s">
        <v>78</v>
      </c>
      <c r="L2015" t="s">
        <v>206</v>
      </c>
      <c r="M2015" t="s">
        <v>207</v>
      </c>
      <c r="N2015" t="s">
        <v>2732</v>
      </c>
      <c r="O2015" t="s">
        <v>82</v>
      </c>
      <c r="P2015" t="str">
        <f>"4170064981                    "</f>
        <v xml:space="preserve">4170064981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22.36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70.959999999999994</v>
      </c>
      <c r="BM2015">
        <v>10.64</v>
      </c>
      <c r="BN2015">
        <v>81.599999999999994</v>
      </c>
      <c r="BO2015">
        <v>81.599999999999994</v>
      </c>
      <c r="BQ2015" t="s">
        <v>2733</v>
      </c>
      <c r="BR2015" t="s">
        <v>97</v>
      </c>
      <c r="BS2015" s="3">
        <v>45951</v>
      </c>
      <c r="BT2015" s="4">
        <v>0.43611111111111112</v>
      </c>
      <c r="BU2015" t="s">
        <v>2734</v>
      </c>
      <c r="BV2015" t="s">
        <v>86</v>
      </c>
      <c r="BY2015">
        <v>1200</v>
      </c>
      <c r="CA2015" t="s">
        <v>2735</v>
      </c>
      <c r="CC2015" t="s">
        <v>207</v>
      </c>
      <c r="CD2015">
        <v>7499</v>
      </c>
      <c r="CE2015" t="s">
        <v>147</v>
      </c>
      <c r="CF2015" s="3">
        <v>45952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"080068616691"</f>
        <v>080068616691</v>
      </c>
      <c r="F2016" s="3">
        <v>45950</v>
      </c>
      <c r="G2016">
        <v>202607</v>
      </c>
      <c r="H2016" t="s">
        <v>79</v>
      </c>
      <c r="I2016" t="s">
        <v>80</v>
      </c>
      <c r="J2016" t="s">
        <v>91</v>
      </c>
      <c r="K2016" t="s">
        <v>78</v>
      </c>
      <c r="L2016" t="s">
        <v>121</v>
      </c>
      <c r="M2016" t="s">
        <v>122</v>
      </c>
      <c r="N2016" t="s">
        <v>123</v>
      </c>
      <c r="O2016" t="s">
        <v>82</v>
      </c>
      <c r="P2016" t="str">
        <f>"4170064963                    "</f>
        <v xml:space="preserve">4170064963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22.36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70.959999999999994</v>
      </c>
      <c r="BM2016">
        <v>10.64</v>
      </c>
      <c r="BN2016">
        <v>81.599999999999994</v>
      </c>
      <c r="BO2016">
        <v>81.599999999999994</v>
      </c>
      <c r="BQ2016" t="s">
        <v>124</v>
      </c>
      <c r="BR2016" t="s">
        <v>97</v>
      </c>
      <c r="BS2016" s="3">
        <v>45951</v>
      </c>
      <c r="BT2016" s="4">
        <v>0.34236111111111112</v>
      </c>
      <c r="BU2016" t="s">
        <v>757</v>
      </c>
      <c r="BV2016" t="s">
        <v>86</v>
      </c>
      <c r="BY2016">
        <v>1200</v>
      </c>
      <c r="CA2016" t="s">
        <v>758</v>
      </c>
      <c r="CC2016" t="s">
        <v>122</v>
      </c>
      <c r="CD2016">
        <v>4051</v>
      </c>
      <c r="CE2016" t="s">
        <v>147</v>
      </c>
      <c r="CF2016" s="3">
        <v>45952</v>
      </c>
      <c r="CI2016">
        <v>1</v>
      </c>
      <c r="CJ2016">
        <v>1</v>
      </c>
      <c r="CK2016">
        <v>21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"080068616730"</f>
        <v>080068616730</v>
      </c>
      <c r="F2017" s="3">
        <v>45950</v>
      </c>
      <c r="G2017">
        <v>202607</v>
      </c>
      <c r="H2017" t="s">
        <v>79</v>
      </c>
      <c r="I2017" t="s">
        <v>80</v>
      </c>
      <c r="J2017" t="s">
        <v>91</v>
      </c>
      <c r="K2017" t="s">
        <v>78</v>
      </c>
      <c r="L2017" t="s">
        <v>92</v>
      </c>
      <c r="M2017" t="s">
        <v>93</v>
      </c>
      <c r="N2017" t="s">
        <v>2047</v>
      </c>
      <c r="O2017" t="s">
        <v>82</v>
      </c>
      <c r="P2017" t="str">
        <f>"4170064959                    "</f>
        <v xml:space="preserve">4170064959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22.36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70.959999999999994</v>
      </c>
      <c r="BM2017">
        <v>10.64</v>
      </c>
      <c r="BN2017">
        <v>81.599999999999994</v>
      </c>
      <c r="BO2017">
        <v>81.599999999999994</v>
      </c>
      <c r="BQ2017" t="s">
        <v>2048</v>
      </c>
      <c r="BR2017" t="s">
        <v>97</v>
      </c>
      <c r="BS2017" s="3">
        <v>45951</v>
      </c>
      <c r="BT2017" s="4">
        <v>0.48125000000000001</v>
      </c>
      <c r="BU2017" t="s">
        <v>2736</v>
      </c>
      <c r="BV2017" t="s">
        <v>86</v>
      </c>
      <c r="BY2017">
        <v>1200</v>
      </c>
      <c r="CC2017" t="s">
        <v>93</v>
      </c>
      <c r="CD2017">
        <v>3212</v>
      </c>
      <c r="CE2017" t="s">
        <v>147</v>
      </c>
      <c r="CF2017" s="3">
        <v>45952</v>
      </c>
      <c r="CI2017">
        <v>2</v>
      </c>
      <c r="CJ2017">
        <v>1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"080068616755"</f>
        <v>080068616755</v>
      </c>
      <c r="F2018" s="3">
        <v>45950</v>
      </c>
      <c r="G2018">
        <v>202607</v>
      </c>
      <c r="H2018" t="s">
        <v>79</v>
      </c>
      <c r="I2018" t="s">
        <v>80</v>
      </c>
      <c r="J2018" t="s">
        <v>91</v>
      </c>
      <c r="K2018" t="s">
        <v>78</v>
      </c>
      <c r="L2018" t="s">
        <v>233</v>
      </c>
      <c r="M2018" t="s">
        <v>234</v>
      </c>
      <c r="N2018" t="s">
        <v>2447</v>
      </c>
      <c r="O2018" t="s">
        <v>82</v>
      </c>
      <c r="P2018" t="str">
        <f>"4170065011                    "</f>
        <v xml:space="preserve">4170065011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22.36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0.5</v>
      </c>
      <c r="BJ2018">
        <v>1.4</v>
      </c>
      <c r="BK2018">
        <v>1.5</v>
      </c>
      <c r="BL2018">
        <v>70.959999999999994</v>
      </c>
      <c r="BM2018">
        <v>10.64</v>
      </c>
      <c r="BN2018">
        <v>81.599999999999994</v>
      </c>
      <c r="BO2018">
        <v>81.599999999999994</v>
      </c>
      <c r="BQ2018" t="s">
        <v>2448</v>
      </c>
      <c r="BR2018" t="s">
        <v>97</v>
      </c>
      <c r="BS2018" s="3">
        <v>45951</v>
      </c>
      <c r="BT2018" s="4">
        <v>0.3125</v>
      </c>
      <c r="BU2018" t="s">
        <v>2449</v>
      </c>
      <c r="BV2018" t="s">
        <v>86</v>
      </c>
      <c r="BY2018">
        <v>6798.98</v>
      </c>
      <c r="CA2018">
        <v>7712195338085</v>
      </c>
      <c r="CC2018" t="s">
        <v>234</v>
      </c>
      <c r="CD2018" s="5" t="s">
        <v>238</v>
      </c>
      <c r="CE2018" t="s">
        <v>147</v>
      </c>
      <c r="CF2018" s="3">
        <v>45951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"080068616783"</f>
        <v>080068616783</v>
      </c>
      <c r="F2019" s="3">
        <v>45950</v>
      </c>
      <c r="G2019">
        <v>202607</v>
      </c>
      <c r="H2019" t="s">
        <v>79</v>
      </c>
      <c r="I2019" t="s">
        <v>80</v>
      </c>
      <c r="J2019" t="s">
        <v>91</v>
      </c>
      <c r="K2019" t="s">
        <v>78</v>
      </c>
      <c r="L2019" t="s">
        <v>446</v>
      </c>
      <c r="M2019" t="s">
        <v>447</v>
      </c>
      <c r="N2019" t="s">
        <v>1631</v>
      </c>
      <c r="O2019" t="s">
        <v>82</v>
      </c>
      <c r="P2019" t="str">
        <f>"4170064973                    "</f>
        <v xml:space="preserve">4170064973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43.31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137.47</v>
      </c>
      <c r="BM2019">
        <v>20.62</v>
      </c>
      <c r="BN2019">
        <v>158.09</v>
      </c>
      <c r="BO2019">
        <v>158.09</v>
      </c>
      <c r="BQ2019" t="s">
        <v>1632</v>
      </c>
      <c r="BR2019" t="s">
        <v>97</v>
      </c>
      <c r="BS2019" s="3">
        <v>45951</v>
      </c>
      <c r="BT2019" s="4">
        <v>0.41736111111111113</v>
      </c>
      <c r="BU2019" t="s">
        <v>1633</v>
      </c>
      <c r="BV2019" t="s">
        <v>86</v>
      </c>
      <c r="BY2019">
        <v>1200</v>
      </c>
      <c r="CA2019" t="s">
        <v>1124</v>
      </c>
      <c r="CC2019" t="s">
        <v>447</v>
      </c>
      <c r="CD2019">
        <v>7130</v>
      </c>
      <c r="CE2019" t="s">
        <v>147</v>
      </c>
      <c r="CF2019" s="3">
        <v>45952</v>
      </c>
      <c r="CI2019">
        <v>1</v>
      </c>
      <c r="CJ2019">
        <v>1</v>
      </c>
      <c r="CK2019">
        <v>23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"080068616803"</f>
        <v>080068616803</v>
      </c>
      <c r="F2020" s="3">
        <v>45950</v>
      </c>
      <c r="G2020">
        <v>202607</v>
      </c>
      <c r="H2020" t="s">
        <v>79</v>
      </c>
      <c r="I2020" t="s">
        <v>80</v>
      </c>
      <c r="J2020" t="s">
        <v>91</v>
      </c>
      <c r="K2020" t="s">
        <v>78</v>
      </c>
      <c r="L2020" t="s">
        <v>206</v>
      </c>
      <c r="M2020" t="s">
        <v>207</v>
      </c>
      <c r="N2020" t="s">
        <v>656</v>
      </c>
      <c r="O2020" t="s">
        <v>82</v>
      </c>
      <c r="P2020" t="str">
        <f>"4170064998                    "</f>
        <v xml:space="preserve">4170064998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22.36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70.959999999999994</v>
      </c>
      <c r="BM2020">
        <v>10.64</v>
      </c>
      <c r="BN2020">
        <v>81.599999999999994</v>
      </c>
      <c r="BO2020">
        <v>81.599999999999994</v>
      </c>
      <c r="BQ2020" t="s">
        <v>657</v>
      </c>
      <c r="BR2020" t="s">
        <v>97</v>
      </c>
      <c r="BS2020" s="3">
        <v>45951</v>
      </c>
      <c r="BT2020" s="4">
        <v>0.41597222222222224</v>
      </c>
      <c r="BU2020" t="s">
        <v>658</v>
      </c>
      <c r="BV2020" t="s">
        <v>86</v>
      </c>
      <c r="BY2020">
        <v>1200</v>
      </c>
      <c r="CA2020" t="s">
        <v>211</v>
      </c>
      <c r="CC2020" t="s">
        <v>207</v>
      </c>
      <c r="CD2020">
        <v>7441</v>
      </c>
      <c r="CE2020" t="s">
        <v>147</v>
      </c>
      <c r="CF2020" s="3">
        <v>45952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"080068616814"</f>
        <v>080068616814</v>
      </c>
      <c r="F2021" s="3">
        <v>45950</v>
      </c>
      <c r="G2021">
        <v>202607</v>
      </c>
      <c r="H2021" t="s">
        <v>79</v>
      </c>
      <c r="I2021" t="s">
        <v>80</v>
      </c>
      <c r="J2021" t="s">
        <v>91</v>
      </c>
      <c r="K2021" t="s">
        <v>78</v>
      </c>
      <c r="L2021" t="s">
        <v>453</v>
      </c>
      <c r="M2021" t="s">
        <v>454</v>
      </c>
      <c r="N2021" t="s">
        <v>639</v>
      </c>
      <c r="O2021" t="s">
        <v>82</v>
      </c>
      <c r="P2021" t="str">
        <f>"4170065006                    "</f>
        <v xml:space="preserve">4170065006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22.36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70.959999999999994</v>
      </c>
      <c r="BM2021">
        <v>10.64</v>
      </c>
      <c r="BN2021">
        <v>81.599999999999994</v>
      </c>
      <c r="BO2021">
        <v>81.599999999999994</v>
      </c>
      <c r="BQ2021" t="s">
        <v>640</v>
      </c>
      <c r="BR2021" t="s">
        <v>97</v>
      </c>
      <c r="BS2021" s="3">
        <v>45951</v>
      </c>
      <c r="BT2021" s="4">
        <v>0.64652777777777781</v>
      </c>
      <c r="BU2021" t="s">
        <v>2620</v>
      </c>
      <c r="BV2021" t="s">
        <v>90</v>
      </c>
      <c r="BW2021" t="s">
        <v>136</v>
      </c>
      <c r="BX2021" t="s">
        <v>2248</v>
      </c>
      <c r="BY2021">
        <v>1200</v>
      </c>
      <c r="CA2021" t="s">
        <v>742</v>
      </c>
      <c r="CC2021" t="s">
        <v>454</v>
      </c>
      <c r="CD2021">
        <v>3610</v>
      </c>
      <c r="CE2021" t="s">
        <v>147</v>
      </c>
      <c r="CF2021" s="3">
        <v>45951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"080068616835"</f>
        <v>080068616835</v>
      </c>
      <c r="F2022" s="3">
        <v>45950</v>
      </c>
      <c r="G2022">
        <v>202607</v>
      </c>
      <c r="H2022" t="s">
        <v>79</v>
      </c>
      <c r="I2022" t="s">
        <v>80</v>
      </c>
      <c r="J2022" t="s">
        <v>91</v>
      </c>
      <c r="K2022" t="s">
        <v>78</v>
      </c>
      <c r="L2022" t="s">
        <v>206</v>
      </c>
      <c r="M2022" t="s">
        <v>207</v>
      </c>
      <c r="N2022" t="s">
        <v>2737</v>
      </c>
      <c r="O2022" t="s">
        <v>82</v>
      </c>
      <c r="P2022" t="str">
        <f>"4170065069                    "</f>
        <v xml:space="preserve">4170065069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22.36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70.959999999999994</v>
      </c>
      <c r="BM2022">
        <v>10.64</v>
      </c>
      <c r="BN2022">
        <v>81.599999999999994</v>
      </c>
      <c r="BO2022">
        <v>81.599999999999994</v>
      </c>
      <c r="BQ2022" t="s">
        <v>2738</v>
      </c>
      <c r="BR2022" t="s">
        <v>97</v>
      </c>
      <c r="BS2022" s="3">
        <v>45951</v>
      </c>
      <c r="BT2022" s="4">
        <v>0.55000000000000004</v>
      </c>
      <c r="BU2022" t="s">
        <v>2739</v>
      </c>
      <c r="BV2022" t="s">
        <v>90</v>
      </c>
      <c r="BW2022" t="s">
        <v>347</v>
      </c>
      <c r="BX2022" t="s">
        <v>2740</v>
      </c>
      <c r="BY2022">
        <v>1200</v>
      </c>
      <c r="CA2022" t="s">
        <v>146</v>
      </c>
      <c r="CC2022" t="s">
        <v>207</v>
      </c>
      <c r="CD2022">
        <v>8001</v>
      </c>
      <c r="CE2022" t="s">
        <v>147</v>
      </c>
      <c r="CF2022" s="3">
        <v>45952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"080068616842"</f>
        <v>080068616842</v>
      </c>
      <c r="F2023" s="3">
        <v>45950</v>
      </c>
      <c r="G2023">
        <v>202607</v>
      </c>
      <c r="H2023" t="s">
        <v>79</v>
      </c>
      <c r="I2023" t="s">
        <v>80</v>
      </c>
      <c r="J2023" t="s">
        <v>91</v>
      </c>
      <c r="K2023" t="s">
        <v>78</v>
      </c>
      <c r="L2023" t="s">
        <v>121</v>
      </c>
      <c r="M2023" t="s">
        <v>122</v>
      </c>
      <c r="N2023" t="s">
        <v>154</v>
      </c>
      <c r="O2023" t="s">
        <v>82</v>
      </c>
      <c r="P2023" t="str">
        <f>"4170065062                    "</f>
        <v xml:space="preserve">4170065062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22.36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70.959999999999994</v>
      </c>
      <c r="BM2023">
        <v>10.64</v>
      </c>
      <c r="BN2023">
        <v>81.599999999999994</v>
      </c>
      <c r="BO2023">
        <v>81.599999999999994</v>
      </c>
      <c r="BQ2023" t="s">
        <v>155</v>
      </c>
      <c r="BR2023" t="s">
        <v>97</v>
      </c>
      <c r="BS2023" s="3">
        <v>45951</v>
      </c>
      <c r="BT2023" s="4">
        <v>0.49652777777777779</v>
      </c>
      <c r="BU2023" t="s">
        <v>1271</v>
      </c>
      <c r="BV2023" t="s">
        <v>90</v>
      </c>
      <c r="BW2023" t="s">
        <v>136</v>
      </c>
      <c r="BX2023" t="s">
        <v>1222</v>
      </c>
      <c r="BY2023">
        <v>1200</v>
      </c>
      <c r="CA2023" t="s">
        <v>157</v>
      </c>
      <c r="CC2023" t="s">
        <v>122</v>
      </c>
      <c r="CD2023">
        <v>4052</v>
      </c>
      <c r="CE2023" t="s">
        <v>147</v>
      </c>
      <c r="CF2023" s="3">
        <v>45951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"080068616882"</f>
        <v>080068616882</v>
      </c>
      <c r="F2024" s="3">
        <v>45950</v>
      </c>
      <c r="G2024">
        <v>202607</v>
      </c>
      <c r="H2024" t="s">
        <v>79</v>
      </c>
      <c r="I2024" t="s">
        <v>80</v>
      </c>
      <c r="J2024" t="s">
        <v>91</v>
      </c>
      <c r="K2024" t="s">
        <v>78</v>
      </c>
      <c r="L2024" t="s">
        <v>271</v>
      </c>
      <c r="M2024" t="s">
        <v>272</v>
      </c>
      <c r="N2024" t="s">
        <v>443</v>
      </c>
      <c r="O2024" t="s">
        <v>82</v>
      </c>
      <c r="P2024" t="str">
        <f>"4170065022                    "</f>
        <v xml:space="preserve">4170065022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17.46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55.42</v>
      </c>
      <c r="BM2024">
        <v>8.31</v>
      </c>
      <c r="BN2024">
        <v>63.73</v>
      </c>
      <c r="BO2024">
        <v>63.73</v>
      </c>
      <c r="BQ2024" t="s">
        <v>444</v>
      </c>
      <c r="BR2024" t="s">
        <v>97</v>
      </c>
      <c r="BS2024" s="3">
        <v>45951</v>
      </c>
      <c r="BT2024" s="4">
        <v>0.4375</v>
      </c>
      <c r="BU2024" t="s">
        <v>460</v>
      </c>
      <c r="BV2024" t="s">
        <v>86</v>
      </c>
      <c r="BY2024">
        <v>1200</v>
      </c>
      <c r="CA2024" t="s">
        <v>661</v>
      </c>
      <c r="CC2024" t="s">
        <v>272</v>
      </c>
      <c r="CD2024">
        <v>1428</v>
      </c>
      <c r="CE2024" t="s">
        <v>147</v>
      </c>
      <c r="CF2024" s="3">
        <v>45952</v>
      </c>
      <c r="CI2024">
        <v>1</v>
      </c>
      <c r="CJ2024">
        <v>1</v>
      </c>
      <c r="CK2024">
        <v>22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"080068616888"</f>
        <v>080068616888</v>
      </c>
      <c r="F2025" s="3">
        <v>45950</v>
      </c>
      <c r="G2025">
        <v>202607</v>
      </c>
      <c r="H2025" t="s">
        <v>79</v>
      </c>
      <c r="I2025" t="s">
        <v>80</v>
      </c>
      <c r="J2025" t="s">
        <v>91</v>
      </c>
      <c r="K2025" t="s">
        <v>78</v>
      </c>
      <c r="L2025" t="s">
        <v>121</v>
      </c>
      <c r="M2025" t="s">
        <v>122</v>
      </c>
      <c r="N2025" t="s">
        <v>123</v>
      </c>
      <c r="O2025" t="s">
        <v>82</v>
      </c>
      <c r="P2025" t="str">
        <f>"4170064985                    "</f>
        <v xml:space="preserve">4170064985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22.36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70.959999999999994</v>
      </c>
      <c r="BM2025">
        <v>10.64</v>
      </c>
      <c r="BN2025">
        <v>81.599999999999994</v>
      </c>
      <c r="BO2025">
        <v>81.599999999999994</v>
      </c>
      <c r="BQ2025" t="s">
        <v>124</v>
      </c>
      <c r="BR2025" t="s">
        <v>97</v>
      </c>
      <c r="BS2025" s="3">
        <v>45951</v>
      </c>
      <c r="BT2025" s="4">
        <v>0.34236111111111112</v>
      </c>
      <c r="BU2025" t="s">
        <v>757</v>
      </c>
      <c r="BV2025" t="s">
        <v>86</v>
      </c>
      <c r="BY2025">
        <v>1200</v>
      </c>
      <c r="CA2025" t="s">
        <v>758</v>
      </c>
      <c r="CC2025" t="s">
        <v>122</v>
      </c>
      <c r="CD2025">
        <v>4000</v>
      </c>
      <c r="CE2025" t="s">
        <v>147</v>
      </c>
      <c r="CF2025" s="3">
        <v>45952</v>
      </c>
      <c r="CI2025">
        <v>1</v>
      </c>
      <c r="CJ2025">
        <v>1</v>
      </c>
      <c r="CK2025">
        <v>21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"080068616920"</f>
        <v>080068616920</v>
      </c>
      <c r="F2026" s="3">
        <v>45950</v>
      </c>
      <c r="G2026">
        <v>202607</v>
      </c>
      <c r="H2026" t="s">
        <v>79</v>
      </c>
      <c r="I2026" t="s">
        <v>80</v>
      </c>
      <c r="J2026" t="s">
        <v>91</v>
      </c>
      <c r="K2026" t="s">
        <v>78</v>
      </c>
      <c r="L2026" t="s">
        <v>223</v>
      </c>
      <c r="M2026" t="s">
        <v>224</v>
      </c>
      <c r="N2026" t="s">
        <v>1464</v>
      </c>
      <c r="O2026" t="s">
        <v>82</v>
      </c>
      <c r="P2026" t="str">
        <f>"4170064960                    "</f>
        <v xml:space="preserve">4170064960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17.46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55.42</v>
      </c>
      <c r="BM2026">
        <v>8.31</v>
      </c>
      <c r="BN2026">
        <v>63.73</v>
      </c>
      <c r="BO2026">
        <v>63.73</v>
      </c>
      <c r="BQ2026" t="s">
        <v>1465</v>
      </c>
      <c r="BR2026" t="s">
        <v>97</v>
      </c>
      <c r="BS2026" s="3">
        <v>45951</v>
      </c>
      <c r="BT2026" s="4">
        <v>0.36527777777777776</v>
      </c>
      <c r="BU2026" t="s">
        <v>1905</v>
      </c>
      <c r="BV2026" t="s">
        <v>86</v>
      </c>
      <c r="BY2026">
        <v>1200</v>
      </c>
      <c r="CA2026" t="s">
        <v>1110</v>
      </c>
      <c r="CC2026" t="s">
        <v>224</v>
      </c>
      <c r="CD2026">
        <v>1459</v>
      </c>
      <c r="CE2026" t="s">
        <v>147</v>
      </c>
      <c r="CF2026" s="3">
        <v>45951</v>
      </c>
      <c r="CI2026">
        <v>1</v>
      </c>
      <c r="CJ2026">
        <v>1</v>
      </c>
      <c r="CK2026">
        <v>22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"080068616930"</f>
        <v>080068616930</v>
      </c>
      <c r="F2027" s="3">
        <v>45950</v>
      </c>
      <c r="G2027">
        <v>202607</v>
      </c>
      <c r="H2027" t="s">
        <v>79</v>
      </c>
      <c r="I2027" t="s">
        <v>80</v>
      </c>
      <c r="J2027" t="s">
        <v>91</v>
      </c>
      <c r="K2027" t="s">
        <v>78</v>
      </c>
      <c r="L2027" t="s">
        <v>114</v>
      </c>
      <c r="M2027" t="s">
        <v>115</v>
      </c>
      <c r="N2027" t="s">
        <v>774</v>
      </c>
      <c r="O2027" t="s">
        <v>82</v>
      </c>
      <c r="P2027" t="str">
        <f>"4170064844                    "</f>
        <v xml:space="preserve">4170064844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22.36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70.959999999999994</v>
      </c>
      <c r="BM2027">
        <v>10.64</v>
      </c>
      <c r="BN2027">
        <v>81.599999999999994</v>
      </c>
      <c r="BO2027">
        <v>81.599999999999994</v>
      </c>
      <c r="BQ2027" t="s">
        <v>775</v>
      </c>
      <c r="BR2027" t="s">
        <v>97</v>
      </c>
      <c r="BS2027" s="3">
        <v>45951</v>
      </c>
      <c r="BT2027" s="4">
        <v>0.44861111111111113</v>
      </c>
      <c r="BU2027" t="s">
        <v>2741</v>
      </c>
      <c r="BV2027" t="s">
        <v>86</v>
      </c>
      <c r="BY2027">
        <v>1200</v>
      </c>
      <c r="CA2027" t="s">
        <v>119</v>
      </c>
      <c r="CC2027" t="s">
        <v>115</v>
      </c>
      <c r="CD2027">
        <v>5201</v>
      </c>
      <c r="CE2027" t="s">
        <v>147</v>
      </c>
      <c r="CF2027" s="3">
        <v>45951</v>
      </c>
      <c r="CI2027">
        <v>5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"080068616967"</f>
        <v>080068616967</v>
      </c>
      <c r="F2028" s="3">
        <v>45950</v>
      </c>
      <c r="G2028">
        <v>202607</v>
      </c>
      <c r="H2028" t="s">
        <v>79</v>
      </c>
      <c r="I2028" t="s">
        <v>80</v>
      </c>
      <c r="J2028" t="s">
        <v>91</v>
      </c>
      <c r="K2028" t="s">
        <v>78</v>
      </c>
      <c r="L2028" t="s">
        <v>223</v>
      </c>
      <c r="M2028" t="s">
        <v>224</v>
      </c>
      <c r="N2028" t="s">
        <v>225</v>
      </c>
      <c r="O2028" t="s">
        <v>95</v>
      </c>
      <c r="P2028" t="str">
        <f>"4170065002                    "</f>
        <v xml:space="preserve">4170065002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49.94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13</v>
      </c>
      <c r="BJ2028">
        <v>31.5</v>
      </c>
      <c r="BK2028">
        <v>32</v>
      </c>
      <c r="BL2028">
        <v>164.37</v>
      </c>
      <c r="BM2028">
        <v>24.66</v>
      </c>
      <c r="BN2028">
        <v>189.03</v>
      </c>
      <c r="BO2028">
        <v>189.03</v>
      </c>
      <c r="BQ2028" t="s">
        <v>227</v>
      </c>
      <c r="BR2028" t="s">
        <v>97</v>
      </c>
      <c r="BS2028" s="3">
        <v>45951</v>
      </c>
      <c r="BT2028" s="4">
        <v>0.42430555555555555</v>
      </c>
      <c r="BU2028" t="s">
        <v>1731</v>
      </c>
      <c r="BV2028" t="s">
        <v>86</v>
      </c>
      <c r="BY2028">
        <v>157320</v>
      </c>
      <c r="CA2028" t="s">
        <v>508</v>
      </c>
      <c r="CC2028" t="s">
        <v>224</v>
      </c>
      <c r="CD2028">
        <v>1459</v>
      </c>
      <c r="CE2028" t="s">
        <v>191</v>
      </c>
      <c r="CF2028" s="3">
        <v>45951</v>
      </c>
      <c r="CI2028">
        <v>1</v>
      </c>
      <c r="CJ2028">
        <v>1</v>
      </c>
      <c r="CK2028">
        <v>42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"080068616970"</f>
        <v>080068616970</v>
      </c>
      <c r="F2029" s="3">
        <v>45950</v>
      </c>
      <c r="G2029">
        <v>202607</v>
      </c>
      <c r="H2029" t="s">
        <v>79</v>
      </c>
      <c r="I2029" t="s">
        <v>80</v>
      </c>
      <c r="J2029" t="s">
        <v>91</v>
      </c>
      <c r="K2029" t="s">
        <v>78</v>
      </c>
      <c r="L2029" t="s">
        <v>79</v>
      </c>
      <c r="M2029" t="s">
        <v>80</v>
      </c>
      <c r="N2029" t="s">
        <v>830</v>
      </c>
      <c r="O2029" t="s">
        <v>82</v>
      </c>
      <c r="P2029" t="str">
        <f>"4170065046                    "</f>
        <v xml:space="preserve">4170065046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17.46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55.42</v>
      </c>
      <c r="BM2029">
        <v>8.31</v>
      </c>
      <c r="BN2029">
        <v>63.73</v>
      </c>
      <c r="BO2029">
        <v>63.73</v>
      </c>
      <c r="BQ2029" t="s">
        <v>831</v>
      </c>
      <c r="BR2029" t="s">
        <v>97</v>
      </c>
      <c r="BS2029" s="3">
        <v>45951</v>
      </c>
      <c r="BT2029" s="4">
        <v>0.40416666666666667</v>
      </c>
      <c r="BU2029" t="s">
        <v>2742</v>
      </c>
      <c r="BV2029" t="s">
        <v>86</v>
      </c>
      <c r="BY2029">
        <v>1200</v>
      </c>
      <c r="CA2029" t="s">
        <v>88</v>
      </c>
      <c r="CC2029" t="s">
        <v>80</v>
      </c>
      <c r="CD2029">
        <v>1619</v>
      </c>
      <c r="CE2029" t="s">
        <v>147</v>
      </c>
      <c r="CF2029" s="3">
        <v>45951</v>
      </c>
      <c r="CI2029">
        <v>1</v>
      </c>
      <c r="CJ2029">
        <v>1</v>
      </c>
      <c r="CK2029">
        <v>22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"080068617008"</f>
        <v>080068617008</v>
      </c>
      <c r="F2030" s="3">
        <v>45950</v>
      </c>
      <c r="G2030">
        <v>202607</v>
      </c>
      <c r="H2030" t="s">
        <v>79</v>
      </c>
      <c r="I2030" t="s">
        <v>80</v>
      </c>
      <c r="J2030" t="s">
        <v>91</v>
      </c>
      <c r="K2030" t="s">
        <v>78</v>
      </c>
      <c r="L2030" t="s">
        <v>168</v>
      </c>
      <c r="M2030" t="s">
        <v>169</v>
      </c>
      <c r="N2030" t="s">
        <v>297</v>
      </c>
      <c r="O2030" t="s">
        <v>95</v>
      </c>
      <c r="P2030" t="str">
        <f>"4170064840                    "</f>
        <v xml:space="preserve">4170064840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43.23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4.3</v>
      </c>
      <c r="BJ2030">
        <v>8.9</v>
      </c>
      <c r="BK2030">
        <v>9</v>
      </c>
      <c r="BL2030">
        <v>143.08000000000001</v>
      </c>
      <c r="BM2030">
        <v>21.46</v>
      </c>
      <c r="BN2030">
        <v>164.54</v>
      </c>
      <c r="BO2030">
        <v>164.54</v>
      </c>
      <c r="BQ2030" t="s">
        <v>298</v>
      </c>
      <c r="BR2030" t="s">
        <v>97</v>
      </c>
      <c r="BS2030" s="3">
        <v>45951</v>
      </c>
      <c r="BT2030" s="4">
        <v>0.46527777777777779</v>
      </c>
      <c r="BU2030" t="s">
        <v>2743</v>
      </c>
      <c r="BV2030" t="s">
        <v>86</v>
      </c>
      <c r="BY2030">
        <v>44482.2</v>
      </c>
      <c r="CC2030" t="s">
        <v>169</v>
      </c>
      <c r="CD2030" s="5" t="s">
        <v>190</v>
      </c>
      <c r="CE2030" t="s">
        <v>191</v>
      </c>
      <c r="CF2030" s="3">
        <v>45951</v>
      </c>
      <c r="CI2030">
        <v>1</v>
      </c>
      <c r="CJ2030">
        <v>1</v>
      </c>
      <c r="CK2030">
        <v>41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"080068617035"</f>
        <v>080068617035</v>
      </c>
      <c r="F2031" s="3">
        <v>45950</v>
      </c>
      <c r="G2031">
        <v>202607</v>
      </c>
      <c r="H2031" t="s">
        <v>79</v>
      </c>
      <c r="I2031" t="s">
        <v>80</v>
      </c>
      <c r="J2031" t="s">
        <v>91</v>
      </c>
      <c r="K2031" t="s">
        <v>78</v>
      </c>
      <c r="L2031" t="s">
        <v>300</v>
      </c>
      <c r="M2031" t="s">
        <v>301</v>
      </c>
      <c r="N2031" t="s">
        <v>523</v>
      </c>
      <c r="O2031" t="s">
        <v>95</v>
      </c>
      <c r="P2031" t="str">
        <f>"4170064852                    "</f>
        <v xml:space="preserve">4170064852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53.98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10.9</v>
      </c>
      <c r="BJ2031">
        <v>19.100000000000001</v>
      </c>
      <c r="BK2031">
        <v>20</v>
      </c>
      <c r="BL2031">
        <v>177.19</v>
      </c>
      <c r="BM2031">
        <v>26.58</v>
      </c>
      <c r="BN2031">
        <v>203.77</v>
      </c>
      <c r="BO2031">
        <v>203.77</v>
      </c>
      <c r="BQ2031" t="s">
        <v>524</v>
      </c>
      <c r="BR2031" t="s">
        <v>97</v>
      </c>
      <c r="BS2031" s="3">
        <v>45951</v>
      </c>
      <c r="BT2031" s="4">
        <v>0.39583333333333331</v>
      </c>
      <c r="BU2031" t="s">
        <v>2744</v>
      </c>
      <c r="BV2031" t="s">
        <v>86</v>
      </c>
      <c r="BY2031">
        <v>95439.360000000001</v>
      </c>
      <c r="CA2031" t="s">
        <v>305</v>
      </c>
      <c r="CC2031" t="s">
        <v>301</v>
      </c>
      <c r="CD2031">
        <v>1748</v>
      </c>
      <c r="CE2031" t="s">
        <v>191</v>
      </c>
      <c r="CF2031" s="3">
        <v>45952</v>
      </c>
      <c r="CI2031">
        <v>1</v>
      </c>
      <c r="CJ2031">
        <v>1</v>
      </c>
      <c r="CK2031">
        <v>44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"080068617264"</f>
        <v>080068617264</v>
      </c>
      <c r="F2032" s="3">
        <v>45950</v>
      </c>
      <c r="G2032">
        <v>202607</v>
      </c>
      <c r="H2032" t="s">
        <v>79</v>
      </c>
      <c r="I2032" t="s">
        <v>80</v>
      </c>
      <c r="J2032" t="s">
        <v>91</v>
      </c>
      <c r="K2032" t="s">
        <v>78</v>
      </c>
      <c r="L2032" t="s">
        <v>469</v>
      </c>
      <c r="M2032" t="s">
        <v>470</v>
      </c>
      <c r="N2032" t="s">
        <v>471</v>
      </c>
      <c r="O2032" t="s">
        <v>82</v>
      </c>
      <c r="P2032" t="str">
        <f>"4170065047                    "</f>
        <v xml:space="preserve">4170065047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43.31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137.47</v>
      </c>
      <c r="BM2032">
        <v>20.62</v>
      </c>
      <c r="BN2032">
        <v>158.09</v>
      </c>
      <c r="BO2032">
        <v>158.09</v>
      </c>
      <c r="BQ2032" t="s">
        <v>1724</v>
      </c>
      <c r="BR2032" t="s">
        <v>97</v>
      </c>
      <c r="BS2032" s="3">
        <v>45951</v>
      </c>
      <c r="BT2032" s="4">
        <v>0.50138888888888888</v>
      </c>
      <c r="BU2032" t="s">
        <v>2488</v>
      </c>
      <c r="BV2032" t="s">
        <v>86</v>
      </c>
      <c r="BY2032">
        <v>1200</v>
      </c>
      <c r="CA2032" t="s">
        <v>474</v>
      </c>
      <c r="CC2032" t="s">
        <v>470</v>
      </c>
      <c r="CD2032">
        <v>7300</v>
      </c>
      <c r="CE2032" t="s">
        <v>147</v>
      </c>
      <c r="CF2032" s="3">
        <v>45952</v>
      </c>
      <c r="CI2032">
        <v>1</v>
      </c>
      <c r="CJ2032">
        <v>1</v>
      </c>
      <c r="CK2032">
        <v>23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"080068617282"</f>
        <v>080068617282</v>
      </c>
      <c r="F2033" s="3">
        <v>45950</v>
      </c>
      <c r="G2033">
        <v>202607</v>
      </c>
      <c r="H2033" t="s">
        <v>79</v>
      </c>
      <c r="I2033" t="s">
        <v>80</v>
      </c>
      <c r="J2033" t="s">
        <v>91</v>
      </c>
      <c r="K2033" t="s">
        <v>78</v>
      </c>
      <c r="L2033" t="s">
        <v>206</v>
      </c>
      <c r="M2033" t="s">
        <v>207</v>
      </c>
      <c r="N2033" t="s">
        <v>656</v>
      </c>
      <c r="O2033" t="s">
        <v>82</v>
      </c>
      <c r="P2033" t="str">
        <f>"4170065021                    "</f>
        <v xml:space="preserve">4170065021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22.36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70.959999999999994</v>
      </c>
      <c r="BM2033">
        <v>10.64</v>
      </c>
      <c r="BN2033">
        <v>81.599999999999994</v>
      </c>
      <c r="BO2033">
        <v>81.599999999999994</v>
      </c>
      <c r="BQ2033" t="s">
        <v>657</v>
      </c>
      <c r="BR2033" t="s">
        <v>97</v>
      </c>
      <c r="BS2033" s="3">
        <v>45951</v>
      </c>
      <c r="BT2033" s="4">
        <v>0.41597222222222224</v>
      </c>
      <c r="BU2033" t="s">
        <v>658</v>
      </c>
      <c r="BV2033" t="s">
        <v>86</v>
      </c>
      <c r="BY2033">
        <v>1200</v>
      </c>
      <c r="CA2033" t="s">
        <v>211</v>
      </c>
      <c r="CC2033" t="s">
        <v>207</v>
      </c>
      <c r="CD2033">
        <v>7441</v>
      </c>
      <c r="CE2033" t="s">
        <v>147</v>
      </c>
      <c r="CF2033" s="3">
        <v>45952</v>
      </c>
      <c r="CI2033">
        <v>1</v>
      </c>
      <c r="CJ2033">
        <v>1</v>
      </c>
      <c r="CK2033">
        <v>21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"080068617304"</f>
        <v>080068617304</v>
      </c>
      <c r="F2034" s="3">
        <v>45950</v>
      </c>
      <c r="G2034">
        <v>202607</v>
      </c>
      <c r="H2034" t="s">
        <v>79</v>
      </c>
      <c r="I2034" t="s">
        <v>80</v>
      </c>
      <c r="J2034" t="s">
        <v>91</v>
      </c>
      <c r="K2034" t="s">
        <v>78</v>
      </c>
      <c r="L2034" t="s">
        <v>79</v>
      </c>
      <c r="M2034" t="s">
        <v>80</v>
      </c>
      <c r="N2034" t="s">
        <v>577</v>
      </c>
      <c r="O2034" t="s">
        <v>82</v>
      </c>
      <c r="P2034" t="str">
        <f>"4170064995                    "</f>
        <v xml:space="preserve">4170064995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17.46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55.42</v>
      </c>
      <c r="BM2034">
        <v>8.31</v>
      </c>
      <c r="BN2034">
        <v>63.73</v>
      </c>
      <c r="BO2034">
        <v>63.73</v>
      </c>
      <c r="BQ2034" t="s">
        <v>578</v>
      </c>
      <c r="BR2034" t="s">
        <v>97</v>
      </c>
      <c r="BS2034" s="3">
        <v>45951</v>
      </c>
      <c r="BT2034" s="4">
        <v>0.4152777777777778</v>
      </c>
      <c r="BU2034" t="s">
        <v>2745</v>
      </c>
      <c r="BV2034" t="s">
        <v>86</v>
      </c>
      <c r="BY2034">
        <v>1200</v>
      </c>
      <c r="CA2034" t="s">
        <v>2746</v>
      </c>
      <c r="CC2034" t="s">
        <v>80</v>
      </c>
      <c r="CD2034">
        <v>1619</v>
      </c>
      <c r="CE2034" t="s">
        <v>147</v>
      </c>
      <c r="CF2034" s="3">
        <v>45951</v>
      </c>
      <c r="CI2034">
        <v>1</v>
      </c>
      <c r="CJ2034">
        <v>1</v>
      </c>
      <c r="CK2034">
        <v>22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"080068617348"</f>
        <v>080068617348</v>
      </c>
      <c r="F2035" s="3">
        <v>45950</v>
      </c>
      <c r="G2035">
        <v>202607</v>
      </c>
      <c r="H2035" t="s">
        <v>79</v>
      </c>
      <c r="I2035" t="s">
        <v>80</v>
      </c>
      <c r="J2035" t="s">
        <v>91</v>
      </c>
      <c r="K2035" t="s">
        <v>78</v>
      </c>
      <c r="L2035" t="s">
        <v>108</v>
      </c>
      <c r="M2035" t="s">
        <v>109</v>
      </c>
      <c r="N2035" t="s">
        <v>2125</v>
      </c>
      <c r="O2035" t="s">
        <v>82</v>
      </c>
      <c r="P2035" t="str">
        <f>"4170064970                    "</f>
        <v xml:space="preserve">4170064970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22.36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70.959999999999994</v>
      </c>
      <c r="BM2035">
        <v>10.64</v>
      </c>
      <c r="BN2035">
        <v>81.599999999999994</v>
      </c>
      <c r="BO2035">
        <v>81.599999999999994</v>
      </c>
      <c r="BQ2035" t="s">
        <v>2126</v>
      </c>
      <c r="BR2035" t="s">
        <v>97</v>
      </c>
      <c r="BS2035" s="3">
        <v>45951</v>
      </c>
      <c r="BT2035" s="4">
        <v>0.36944444444444446</v>
      </c>
      <c r="BU2035" t="s">
        <v>2747</v>
      </c>
      <c r="BV2035" t="s">
        <v>86</v>
      </c>
      <c r="BY2035">
        <v>1200</v>
      </c>
      <c r="CA2035" t="s">
        <v>270</v>
      </c>
      <c r="CC2035" t="s">
        <v>109</v>
      </c>
      <c r="CD2035">
        <v>6001</v>
      </c>
      <c r="CE2035" t="s">
        <v>147</v>
      </c>
      <c r="CF2035" s="3">
        <v>45951</v>
      </c>
      <c r="CI2035">
        <v>1</v>
      </c>
      <c r="CJ2035">
        <v>1</v>
      </c>
      <c r="CK2035">
        <v>21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"080068617379"</f>
        <v>080068617379</v>
      </c>
      <c r="F2036" s="3">
        <v>45950</v>
      </c>
      <c r="G2036">
        <v>202607</v>
      </c>
      <c r="H2036" t="s">
        <v>79</v>
      </c>
      <c r="I2036" t="s">
        <v>80</v>
      </c>
      <c r="J2036" t="s">
        <v>91</v>
      </c>
      <c r="K2036" t="s">
        <v>78</v>
      </c>
      <c r="L2036" t="s">
        <v>1079</v>
      </c>
      <c r="M2036" t="s">
        <v>1080</v>
      </c>
      <c r="N2036" t="s">
        <v>1081</v>
      </c>
      <c r="O2036" t="s">
        <v>82</v>
      </c>
      <c r="P2036" t="str">
        <f>"4170065001                    "</f>
        <v xml:space="preserve">4170065001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43.31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16.739999999999998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154.21</v>
      </c>
      <c r="BM2036">
        <v>23.13</v>
      </c>
      <c r="BN2036">
        <v>177.34</v>
      </c>
      <c r="BO2036">
        <v>177.34</v>
      </c>
      <c r="BQ2036" t="s">
        <v>1082</v>
      </c>
      <c r="BR2036" t="s">
        <v>97</v>
      </c>
      <c r="BS2036" s="3">
        <v>45951</v>
      </c>
      <c r="BT2036" s="4">
        <v>0.42916666666666664</v>
      </c>
      <c r="BU2036" t="s">
        <v>2748</v>
      </c>
      <c r="BV2036" t="s">
        <v>86</v>
      </c>
      <c r="BY2036">
        <v>1200</v>
      </c>
      <c r="BZ2036" t="s">
        <v>30</v>
      </c>
      <c r="CA2036" t="s">
        <v>1084</v>
      </c>
      <c r="CC2036" t="s">
        <v>1080</v>
      </c>
      <c r="CD2036">
        <v>3875</v>
      </c>
      <c r="CE2036" t="s">
        <v>147</v>
      </c>
      <c r="CF2036" s="3">
        <v>45951</v>
      </c>
      <c r="CI2036">
        <v>2</v>
      </c>
      <c r="CJ2036">
        <v>1</v>
      </c>
      <c r="CK2036">
        <v>23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"080068617420"</f>
        <v>080068617420</v>
      </c>
      <c r="F2037" s="3">
        <v>45950</v>
      </c>
      <c r="G2037">
        <v>202607</v>
      </c>
      <c r="H2037" t="s">
        <v>79</v>
      </c>
      <c r="I2037" t="s">
        <v>80</v>
      </c>
      <c r="J2037" t="s">
        <v>91</v>
      </c>
      <c r="K2037" t="s">
        <v>78</v>
      </c>
      <c r="L2037" t="s">
        <v>79</v>
      </c>
      <c r="M2037" t="s">
        <v>80</v>
      </c>
      <c r="N2037" t="s">
        <v>2749</v>
      </c>
      <c r="O2037" t="s">
        <v>82</v>
      </c>
      <c r="P2037" t="str">
        <f>"4170064971                    "</f>
        <v xml:space="preserve">4170064971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17.46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0.5</v>
      </c>
      <c r="BJ2037">
        <v>2</v>
      </c>
      <c r="BK2037">
        <v>2</v>
      </c>
      <c r="BL2037">
        <v>55.42</v>
      </c>
      <c r="BM2037">
        <v>8.31</v>
      </c>
      <c r="BN2037">
        <v>63.73</v>
      </c>
      <c r="BO2037">
        <v>63.73</v>
      </c>
      <c r="BQ2037" t="s">
        <v>2750</v>
      </c>
      <c r="BR2037" t="s">
        <v>97</v>
      </c>
      <c r="BS2037" s="3">
        <v>45951</v>
      </c>
      <c r="BT2037" s="4">
        <v>0.28333333333333333</v>
      </c>
      <c r="BU2037" t="s">
        <v>2751</v>
      </c>
      <c r="BV2037" t="s">
        <v>86</v>
      </c>
      <c r="BY2037">
        <v>10004.94</v>
      </c>
      <c r="CA2037" t="s">
        <v>166</v>
      </c>
      <c r="CC2037" t="s">
        <v>80</v>
      </c>
      <c r="CD2037">
        <v>1619</v>
      </c>
      <c r="CE2037" t="s">
        <v>147</v>
      </c>
      <c r="CF2037" s="3">
        <v>45952</v>
      </c>
      <c r="CI2037">
        <v>1</v>
      </c>
      <c r="CJ2037">
        <v>1</v>
      </c>
      <c r="CK2037">
        <v>22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"080068617440"</f>
        <v>080068617440</v>
      </c>
      <c r="F2038" s="3">
        <v>45950</v>
      </c>
      <c r="G2038">
        <v>202607</v>
      </c>
      <c r="H2038" t="s">
        <v>79</v>
      </c>
      <c r="I2038" t="s">
        <v>80</v>
      </c>
      <c r="J2038" t="s">
        <v>91</v>
      </c>
      <c r="K2038" t="s">
        <v>78</v>
      </c>
      <c r="L2038" t="s">
        <v>223</v>
      </c>
      <c r="M2038" t="s">
        <v>224</v>
      </c>
      <c r="N2038" t="s">
        <v>225</v>
      </c>
      <c r="O2038" t="s">
        <v>82</v>
      </c>
      <c r="P2038" t="str">
        <f>"4170064962                    "</f>
        <v xml:space="preserve">4170064962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17.46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55.42</v>
      </c>
      <c r="BM2038">
        <v>8.31</v>
      </c>
      <c r="BN2038">
        <v>63.73</v>
      </c>
      <c r="BO2038">
        <v>63.73</v>
      </c>
      <c r="BQ2038" t="s">
        <v>227</v>
      </c>
      <c r="BR2038" t="s">
        <v>97</v>
      </c>
      <c r="BS2038" s="3">
        <v>45951</v>
      </c>
      <c r="BT2038" s="4">
        <v>0.33680555555555558</v>
      </c>
      <c r="BU2038" t="s">
        <v>1731</v>
      </c>
      <c r="BV2038" t="s">
        <v>86</v>
      </c>
      <c r="BY2038">
        <v>1200</v>
      </c>
      <c r="CA2038" t="s">
        <v>508</v>
      </c>
      <c r="CC2038" t="s">
        <v>224</v>
      </c>
      <c r="CD2038">
        <v>1459</v>
      </c>
      <c r="CE2038" t="s">
        <v>147</v>
      </c>
      <c r="CF2038" s="3">
        <v>45951</v>
      </c>
      <c r="CI2038">
        <v>1</v>
      </c>
      <c r="CJ2038">
        <v>1</v>
      </c>
      <c r="CK2038">
        <v>22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"080068617464"</f>
        <v>080068617464</v>
      </c>
      <c r="F2039" s="3">
        <v>45950</v>
      </c>
      <c r="G2039">
        <v>202607</v>
      </c>
      <c r="H2039" t="s">
        <v>79</v>
      </c>
      <c r="I2039" t="s">
        <v>80</v>
      </c>
      <c r="J2039" t="s">
        <v>91</v>
      </c>
      <c r="K2039" t="s">
        <v>78</v>
      </c>
      <c r="L2039" t="s">
        <v>246</v>
      </c>
      <c r="M2039" t="s">
        <v>247</v>
      </c>
      <c r="N2039" t="s">
        <v>248</v>
      </c>
      <c r="O2039" t="s">
        <v>82</v>
      </c>
      <c r="P2039" t="str">
        <f>"4170064948                    "</f>
        <v xml:space="preserve">4170064948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43.31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16.739999999999998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0.5</v>
      </c>
      <c r="BJ2039">
        <v>1.9</v>
      </c>
      <c r="BK2039">
        <v>2</v>
      </c>
      <c r="BL2039">
        <v>154.21</v>
      </c>
      <c r="BM2039">
        <v>23.13</v>
      </c>
      <c r="BN2039">
        <v>177.34</v>
      </c>
      <c r="BO2039">
        <v>177.34</v>
      </c>
      <c r="BQ2039" t="s">
        <v>249</v>
      </c>
      <c r="BR2039" t="s">
        <v>97</v>
      </c>
      <c r="BS2039" s="3">
        <v>45951</v>
      </c>
      <c r="BT2039" s="4">
        <v>0.47222222222222221</v>
      </c>
      <c r="BU2039" t="s">
        <v>2752</v>
      </c>
      <c r="BV2039" t="s">
        <v>86</v>
      </c>
      <c r="BY2039">
        <v>9645.16</v>
      </c>
      <c r="BZ2039" t="s">
        <v>30</v>
      </c>
      <c r="CC2039" t="s">
        <v>247</v>
      </c>
      <c r="CD2039" s="5" t="s">
        <v>252</v>
      </c>
      <c r="CE2039" t="s">
        <v>147</v>
      </c>
      <c r="CF2039" s="3">
        <v>45952</v>
      </c>
      <c r="CI2039">
        <v>1</v>
      </c>
      <c r="CJ2039">
        <v>1</v>
      </c>
      <c r="CK2039">
        <v>23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"080068617501"</f>
        <v>080068617501</v>
      </c>
      <c r="F2040" s="3">
        <v>45950</v>
      </c>
      <c r="G2040">
        <v>202607</v>
      </c>
      <c r="H2040" t="s">
        <v>79</v>
      </c>
      <c r="I2040" t="s">
        <v>80</v>
      </c>
      <c r="J2040" t="s">
        <v>91</v>
      </c>
      <c r="K2040" t="s">
        <v>78</v>
      </c>
      <c r="L2040" t="s">
        <v>469</v>
      </c>
      <c r="M2040" t="s">
        <v>470</v>
      </c>
      <c r="N2040" t="s">
        <v>471</v>
      </c>
      <c r="O2040" t="s">
        <v>82</v>
      </c>
      <c r="P2040" t="str">
        <f>"4170065051                    "</f>
        <v xml:space="preserve">4170065051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43.31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137.47</v>
      </c>
      <c r="BM2040">
        <v>20.62</v>
      </c>
      <c r="BN2040">
        <v>158.09</v>
      </c>
      <c r="BO2040">
        <v>158.09</v>
      </c>
      <c r="BQ2040" t="s">
        <v>1724</v>
      </c>
      <c r="BR2040" t="s">
        <v>97</v>
      </c>
      <c r="BS2040" s="3">
        <v>45951</v>
      </c>
      <c r="BT2040" s="4">
        <v>0.50138888888888888</v>
      </c>
      <c r="BU2040" t="s">
        <v>2488</v>
      </c>
      <c r="BV2040" t="s">
        <v>86</v>
      </c>
      <c r="BY2040">
        <v>1200</v>
      </c>
      <c r="CA2040" t="s">
        <v>474</v>
      </c>
      <c r="CC2040" t="s">
        <v>470</v>
      </c>
      <c r="CD2040">
        <v>7300</v>
      </c>
      <c r="CE2040" t="s">
        <v>147</v>
      </c>
      <c r="CF2040" s="3">
        <v>45952</v>
      </c>
      <c r="CI2040">
        <v>1</v>
      </c>
      <c r="CJ2040">
        <v>1</v>
      </c>
      <c r="CK2040">
        <v>23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"080068617559"</f>
        <v>080068617559</v>
      </c>
      <c r="F2041" s="3">
        <v>45950</v>
      </c>
      <c r="G2041">
        <v>202607</v>
      </c>
      <c r="H2041" t="s">
        <v>79</v>
      </c>
      <c r="I2041" t="s">
        <v>80</v>
      </c>
      <c r="J2041" t="s">
        <v>91</v>
      </c>
      <c r="K2041" t="s">
        <v>78</v>
      </c>
      <c r="L2041" t="s">
        <v>121</v>
      </c>
      <c r="M2041" t="s">
        <v>122</v>
      </c>
      <c r="N2041" t="s">
        <v>123</v>
      </c>
      <c r="O2041" t="s">
        <v>82</v>
      </c>
      <c r="P2041" t="str">
        <f>"4170065016                    "</f>
        <v xml:space="preserve">4170065016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22.36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70.959999999999994</v>
      </c>
      <c r="BM2041">
        <v>10.64</v>
      </c>
      <c r="BN2041">
        <v>81.599999999999994</v>
      </c>
      <c r="BO2041">
        <v>81.599999999999994</v>
      </c>
      <c r="BQ2041" t="s">
        <v>124</v>
      </c>
      <c r="BR2041" t="s">
        <v>97</v>
      </c>
      <c r="BS2041" s="3">
        <v>45951</v>
      </c>
      <c r="BT2041" s="4">
        <v>0.34236111111111112</v>
      </c>
      <c r="BU2041" t="s">
        <v>757</v>
      </c>
      <c r="BV2041" t="s">
        <v>86</v>
      </c>
      <c r="BY2041">
        <v>1200</v>
      </c>
      <c r="CA2041" t="s">
        <v>758</v>
      </c>
      <c r="CC2041" t="s">
        <v>122</v>
      </c>
      <c r="CD2041">
        <v>4051</v>
      </c>
      <c r="CE2041" t="s">
        <v>147</v>
      </c>
      <c r="CF2041" s="3">
        <v>45952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"080068617605"</f>
        <v>080068617605</v>
      </c>
      <c r="F2042" s="3">
        <v>45950</v>
      </c>
      <c r="G2042">
        <v>202607</v>
      </c>
      <c r="H2042" t="s">
        <v>79</v>
      </c>
      <c r="I2042" t="s">
        <v>80</v>
      </c>
      <c r="J2042" t="s">
        <v>91</v>
      </c>
      <c r="K2042" t="s">
        <v>78</v>
      </c>
      <c r="L2042" t="s">
        <v>79</v>
      </c>
      <c r="M2042" t="s">
        <v>80</v>
      </c>
      <c r="N2042" t="s">
        <v>163</v>
      </c>
      <c r="O2042" t="s">
        <v>82</v>
      </c>
      <c r="P2042" t="str">
        <f>"4170064879                    "</f>
        <v xml:space="preserve">4170064879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17.46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4</v>
      </c>
      <c r="BJ2042">
        <v>1.4</v>
      </c>
      <c r="BK2042">
        <v>4</v>
      </c>
      <c r="BL2042">
        <v>55.42</v>
      </c>
      <c r="BM2042">
        <v>8.31</v>
      </c>
      <c r="BN2042">
        <v>63.73</v>
      </c>
      <c r="BO2042">
        <v>63.73</v>
      </c>
      <c r="BQ2042" t="s">
        <v>164</v>
      </c>
      <c r="BR2042" t="s">
        <v>97</v>
      </c>
      <c r="BS2042" s="3">
        <v>45951</v>
      </c>
      <c r="BT2042" s="4">
        <v>0.35208333333333336</v>
      </c>
      <c r="BU2042" t="s">
        <v>165</v>
      </c>
      <c r="BV2042" t="s">
        <v>86</v>
      </c>
      <c r="BY2042">
        <v>7000</v>
      </c>
      <c r="CA2042" t="s">
        <v>166</v>
      </c>
      <c r="CC2042" t="s">
        <v>80</v>
      </c>
      <c r="CD2042">
        <v>1600</v>
      </c>
      <c r="CE2042" t="s">
        <v>191</v>
      </c>
      <c r="CF2042" s="3">
        <v>45952</v>
      </c>
      <c r="CI2042">
        <v>1</v>
      </c>
      <c r="CJ2042">
        <v>1</v>
      </c>
      <c r="CK2042">
        <v>22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"080068617679"</f>
        <v>080068617679</v>
      </c>
      <c r="F2043" s="3">
        <v>45950</v>
      </c>
      <c r="G2043">
        <v>202607</v>
      </c>
      <c r="H2043" t="s">
        <v>79</v>
      </c>
      <c r="I2043" t="s">
        <v>80</v>
      </c>
      <c r="J2043" t="s">
        <v>91</v>
      </c>
      <c r="K2043" t="s">
        <v>78</v>
      </c>
      <c r="L2043" t="s">
        <v>271</v>
      </c>
      <c r="M2043" t="s">
        <v>272</v>
      </c>
      <c r="N2043" t="s">
        <v>443</v>
      </c>
      <c r="O2043" t="s">
        <v>82</v>
      </c>
      <c r="P2043" t="str">
        <f>"4170065023                    "</f>
        <v xml:space="preserve">4170065023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17.46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2.7</v>
      </c>
      <c r="BJ2043">
        <v>1.8</v>
      </c>
      <c r="BK2043">
        <v>3</v>
      </c>
      <c r="BL2043">
        <v>55.42</v>
      </c>
      <c r="BM2043">
        <v>8.31</v>
      </c>
      <c r="BN2043">
        <v>63.73</v>
      </c>
      <c r="BO2043">
        <v>63.73</v>
      </c>
      <c r="BQ2043" t="s">
        <v>444</v>
      </c>
      <c r="BR2043" t="s">
        <v>97</v>
      </c>
      <c r="BS2043" s="3">
        <v>45951</v>
      </c>
      <c r="BT2043" s="4">
        <v>0.4375</v>
      </c>
      <c r="BU2043" t="s">
        <v>460</v>
      </c>
      <c r="BV2043" t="s">
        <v>86</v>
      </c>
      <c r="BY2043">
        <v>9249.6299999999992</v>
      </c>
      <c r="CA2043" t="s">
        <v>661</v>
      </c>
      <c r="CC2043" t="s">
        <v>272</v>
      </c>
      <c r="CD2043">
        <v>1428</v>
      </c>
      <c r="CE2043" t="s">
        <v>191</v>
      </c>
      <c r="CF2043" s="3">
        <v>45952</v>
      </c>
      <c r="CI2043">
        <v>1</v>
      </c>
      <c r="CJ2043">
        <v>1</v>
      </c>
      <c r="CK2043">
        <v>22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"080068617827"</f>
        <v>080068617827</v>
      </c>
      <c r="F2044" s="3">
        <v>45950</v>
      </c>
      <c r="G2044">
        <v>202607</v>
      </c>
      <c r="H2044" t="s">
        <v>79</v>
      </c>
      <c r="I2044" t="s">
        <v>80</v>
      </c>
      <c r="J2044" t="s">
        <v>91</v>
      </c>
      <c r="K2044" t="s">
        <v>78</v>
      </c>
      <c r="L2044" t="s">
        <v>121</v>
      </c>
      <c r="M2044" t="s">
        <v>122</v>
      </c>
      <c r="N2044" t="s">
        <v>1278</v>
      </c>
      <c r="O2044" t="s">
        <v>82</v>
      </c>
      <c r="P2044" t="str">
        <f>"4170064978                    "</f>
        <v xml:space="preserve">4170064978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22.36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70.959999999999994</v>
      </c>
      <c r="BM2044">
        <v>10.64</v>
      </c>
      <c r="BN2044">
        <v>81.599999999999994</v>
      </c>
      <c r="BO2044">
        <v>81.599999999999994</v>
      </c>
      <c r="BQ2044" t="s">
        <v>1279</v>
      </c>
      <c r="BR2044" t="s">
        <v>97</v>
      </c>
      <c r="BS2044" s="3">
        <v>45951</v>
      </c>
      <c r="BT2044" s="4">
        <v>0.42638888888888887</v>
      </c>
      <c r="BU2044" t="s">
        <v>1404</v>
      </c>
      <c r="BV2044" t="s">
        <v>86</v>
      </c>
      <c r="BY2044">
        <v>1200</v>
      </c>
      <c r="CA2044" t="s">
        <v>651</v>
      </c>
      <c r="CC2044" t="s">
        <v>122</v>
      </c>
      <c r="CD2044">
        <v>4000</v>
      </c>
      <c r="CE2044" t="s">
        <v>147</v>
      </c>
      <c r="CF2044" s="3">
        <v>45951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"080068617859"</f>
        <v>080068617859</v>
      </c>
      <c r="F2045" s="3">
        <v>45950</v>
      </c>
      <c r="G2045">
        <v>202607</v>
      </c>
      <c r="H2045" t="s">
        <v>79</v>
      </c>
      <c r="I2045" t="s">
        <v>80</v>
      </c>
      <c r="J2045" t="s">
        <v>91</v>
      </c>
      <c r="K2045" t="s">
        <v>78</v>
      </c>
      <c r="L2045" t="s">
        <v>1586</v>
      </c>
      <c r="M2045" t="s">
        <v>1587</v>
      </c>
      <c r="N2045" t="s">
        <v>2753</v>
      </c>
      <c r="O2045" t="s">
        <v>82</v>
      </c>
      <c r="P2045" t="str">
        <f>"4170064861                    "</f>
        <v xml:space="preserve">4170064861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22.36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70.959999999999994</v>
      </c>
      <c r="BM2045">
        <v>10.64</v>
      </c>
      <c r="BN2045">
        <v>81.599999999999994</v>
      </c>
      <c r="BO2045">
        <v>81.599999999999994</v>
      </c>
      <c r="BQ2045" t="s">
        <v>2754</v>
      </c>
      <c r="BR2045" t="s">
        <v>97</v>
      </c>
      <c r="BS2045" s="3">
        <v>45951</v>
      </c>
      <c r="BT2045" s="4">
        <v>0.54374999999999996</v>
      </c>
      <c r="BU2045" t="s">
        <v>2755</v>
      </c>
      <c r="BV2045" t="s">
        <v>90</v>
      </c>
      <c r="BW2045" t="s">
        <v>136</v>
      </c>
      <c r="BX2045" t="s">
        <v>1222</v>
      </c>
      <c r="BY2045">
        <v>1200</v>
      </c>
      <c r="CA2045" t="s">
        <v>2756</v>
      </c>
      <c r="CC2045" t="s">
        <v>1587</v>
      </c>
      <c r="CD2045">
        <v>4302</v>
      </c>
      <c r="CE2045" t="s">
        <v>147</v>
      </c>
      <c r="CF2045" s="3">
        <v>45952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"080068617887"</f>
        <v>080068617887</v>
      </c>
      <c r="F2046" s="3">
        <v>45950</v>
      </c>
      <c r="G2046">
        <v>202607</v>
      </c>
      <c r="H2046" t="s">
        <v>79</v>
      </c>
      <c r="I2046" t="s">
        <v>80</v>
      </c>
      <c r="J2046" t="s">
        <v>91</v>
      </c>
      <c r="K2046" t="s">
        <v>78</v>
      </c>
      <c r="L2046" t="s">
        <v>108</v>
      </c>
      <c r="M2046" t="s">
        <v>109</v>
      </c>
      <c r="N2046" t="s">
        <v>229</v>
      </c>
      <c r="O2046" t="s">
        <v>82</v>
      </c>
      <c r="P2046" t="str">
        <f>"4170064954                    "</f>
        <v xml:space="preserve">4170064954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22.36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70.959999999999994</v>
      </c>
      <c r="BM2046">
        <v>10.64</v>
      </c>
      <c r="BN2046">
        <v>81.599999999999994</v>
      </c>
      <c r="BO2046">
        <v>81.599999999999994</v>
      </c>
      <c r="BQ2046" t="s">
        <v>230</v>
      </c>
      <c r="BR2046" t="s">
        <v>97</v>
      </c>
      <c r="BS2046" s="3">
        <v>45951</v>
      </c>
      <c r="BT2046" s="4">
        <v>0.38333333333333336</v>
      </c>
      <c r="BU2046" t="s">
        <v>1959</v>
      </c>
      <c r="BV2046" t="s">
        <v>86</v>
      </c>
      <c r="BY2046">
        <v>1200</v>
      </c>
      <c r="CA2046" t="s">
        <v>1145</v>
      </c>
      <c r="CC2046" t="s">
        <v>109</v>
      </c>
      <c r="CD2046">
        <v>6001</v>
      </c>
      <c r="CE2046" t="s">
        <v>147</v>
      </c>
      <c r="CF2046" s="3">
        <v>45951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"080068617934"</f>
        <v>080068617934</v>
      </c>
      <c r="F2047" s="3">
        <v>45950</v>
      </c>
      <c r="G2047">
        <v>202607</v>
      </c>
      <c r="H2047" t="s">
        <v>79</v>
      </c>
      <c r="I2047" t="s">
        <v>80</v>
      </c>
      <c r="J2047" t="s">
        <v>91</v>
      </c>
      <c r="K2047" t="s">
        <v>78</v>
      </c>
      <c r="L2047" t="s">
        <v>206</v>
      </c>
      <c r="M2047" t="s">
        <v>207</v>
      </c>
      <c r="N2047" t="s">
        <v>734</v>
      </c>
      <c r="O2047" t="s">
        <v>82</v>
      </c>
      <c r="P2047" t="str">
        <f>"4170064996                    "</f>
        <v xml:space="preserve">4170064996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22.36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70.959999999999994</v>
      </c>
      <c r="BM2047">
        <v>10.64</v>
      </c>
      <c r="BN2047">
        <v>81.599999999999994</v>
      </c>
      <c r="BO2047">
        <v>81.599999999999994</v>
      </c>
      <c r="BQ2047" t="s">
        <v>735</v>
      </c>
      <c r="BR2047" t="s">
        <v>97</v>
      </c>
      <c r="BS2047" s="3">
        <v>45951</v>
      </c>
      <c r="BT2047" s="4">
        <v>0.40625</v>
      </c>
      <c r="BU2047" t="s">
        <v>2757</v>
      </c>
      <c r="BV2047" t="s">
        <v>86</v>
      </c>
      <c r="BY2047">
        <v>1200</v>
      </c>
      <c r="CA2047" t="s">
        <v>1891</v>
      </c>
      <c r="CC2047" t="s">
        <v>207</v>
      </c>
      <c r="CD2047">
        <v>7480</v>
      </c>
      <c r="CE2047" t="s">
        <v>147</v>
      </c>
      <c r="CF2047" s="3">
        <v>45952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"080068617980"</f>
        <v>080068617980</v>
      </c>
      <c r="F2048" s="3">
        <v>45950</v>
      </c>
      <c r="G2048">
        <v>202607</v>
      </c>
      <c r="H2048" t="s">
        <v>79</v>
      </c>
      <c r="I2048" t="s">
        <v>80</v>
      </c>
      <c r="J2048" t="s">
        <v>91</v>
      </c>
      <c r="K2048" t="s">
        <v>78</v>
      </c>
      <c r="L2048" t="s">
        <v>884</v>
      </c>
      <c r="M2048" t="s">
        <v>885</v>
      </c>
      <c r="N2048" t="s">
        <v>886</v>
      </c>
      <c r="O2048" t="s">
        <v>82</v>
      </c>
      <c r="P2048" t="str">
        <f>"4170065003                    "</f>
        <v xml:space="preserve">4170065003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43.31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1.1000000000000001</v>
      </c>
      <c r="BK2048">
        <v>1.5</v>
      </c>
      <c r="BL2048">
        <v>137.47</v>
      </c>
      <c r="BM2048">
        <v>20.62</v>
      </c>
      <c r="BN2048">
        <v>158.09</v>
      </c>
      <c r="BO2048">
        <v>158.09</v>
      </c>
      <c r="BQ2048" t="s">
        <v>887</v>
      </c>
      <c r="BR2048" t="s">
        <v>97</v>
      </c>
      <c r="BS2048" s="3">
        <v>45951</v>
      </c>
      <c r="BT2048" s="4">
        <v>0.29166666666666669</v>
      </c>
      <c r="BU2048" t="s">
        <v>888</v>
      </c>
      <c r="BV2048" t="s">
        <v>86</v>
      </c>
      <c r="BY2048">
        <v>5320</v>
      </c>
      <c r="CC2048" t="s">
        <v>885</v>
      </c>
      <c r="CD2048">
        <v>2740</v>
      </c>
      <c r="CE2048" t="s">
        <v>191</v>
      </c>
      <c r="CF2048" s="3">
        <v>45952</v>
      </c>
      <c r="CI2048">
        <v>1</v>
      </c>
      <c r="CJ2048">
        <v>1</v>
      </c>
      <c r="CK2048">
        <v>23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"080068618025"</f>
        <v>080068618025</v>
      </c>
      <c r="F2049" s="3">
        <v>45950</v>
      </c>
      <c r="G2049">
        <v>202607</v>
      </c>
      <c r="H2049" t="s">
        <v>79</v>
      </c>
      <c r="I2049" t="s">
        <v>80</v>
      </c>
      <c r="J2049" t="s">
        <v>91</v>
      </c>
      <c r="K2049" t="s">
        <v>78</v>
      </c>
      <c r="L2049" t="s">
        <v>92</v>
      </c>
      <c r="M2049" t="s">
        <v>93</v>
      </c>
      <c r="N2049" t="s">
        <v>601</v>
      </c>
      <c r="O2049" t="s">
        <v>82</v>
      </c>
      <c r="P2049" t="str">
        <f>"4170064870                    "</f>
        <v xml:space="preserve">4170064870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33.520000000000003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3</v>
      </c>
      <c r="BJ2049">
        <v>0.7</v>
      </c>
      <c r="BK2049">
        <v>3</v>
      </c>
      <c r="BL2049">
        <v>106.4</v>
      </c>
      <c r="BM2049">
        <v>15.96</v>
      </c>
      <c r="BN2049">
        <v>122.36</v>
      </c>
      <c r="BO2049">
        <v>122.36</v>
      </c>
      <c r="BQ2049" t="s">
        <v>602</v>
      </c>
      <c r="BR2049" t="s">
        <v>97</v>
      </c>
      <c r="BS2049" s="3">
        <v>45951</v>
      </c>
      <c r="BT2049" s="4">
        <v>0.4861111111111111</v>
      </c>
      <c r="BU2049" t="s">
        <v>852</v>
      </c>
      <c r="BV2049" t="s">
        <v>86</v>
      </c>
      <c r="BY2049">
        <v>3372.72</v>
      </c>
      <c r="CC2049" t="s">
        <v>93</v>
      </c>
      <c r="CD2049">
        <v>3212</v>
      </c>
      <c r="CE2049" t="s">
        <v>191</v>
      </c>
      <c r="CF2049" s="3">
        <v>45952</v>
      </c>
      <c r="CI2049">
        <v>2</v>
      </c>
      <c r="CJ2049">
        <v>1</v>
      </c>
      <c r="CK2049">
        <v>21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"080068618086"</f>
        <v>080068618086</v>
      </c>
      <c r="F2050" s="3">
        <v>45950</v>
      </c>
      <c r="G2050">
        <v>202607</v>
      </c>
      <c r="H2050" t="s">
        <v>79</v>
      </c>
      <c r="I2050" t="s">
        <v>80</v>
      </c>
      <c r="J2050" t="s">
        <v>91</v>
      </c>
      <c r="K2050" t="s">
        <v>78</v>
      </c>
      <c r="L2050" t="s">
        <v>239</v>
      </c>
      <c r="M2050" t="s">
        <v>240</v>
      </c>
      <c r="N2050" t="s">
        <v>526</v>
      </c>
      <c r="O2050" t="s">
        <v>82</v>
      </c>
      <c r="P2050" t="str">
        <f>"4170064994                    "</f>
        <v xml:space="preserve">4170064994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53.09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2.2000000000000002</v>
      </c>
      <c r="BJ2050">
        <v>1.7</v>
      </c>
      <c r="BK2050">
        <v>2.5</v>
      </c>
      <c r="BL2050">
        <v>168.51</v>
      </c>
      <c r="BM2050">
        <v>25.28</v>
      </c>
      <c r="BN2050">
        <v>193.79</v>
      </c>
      <c r="BO2050">
        <v>193.79</v>
      </c>
      <c r="BQ2050" t="s">
        <v>527</v>
      </c>
      <c r="BR2050" t="s">
        <v>97</v>
      </c>
      <c r="BS2050" s="3">
        <v>45951</v>
      </c>
      <c r="BT2050" s="4">
        <v>0.39791666666666664</v>
      </c>
      <c r="BU2050" t="s">
        <v>528</v>
      </c>
      <c r="BV2050" t="s">
        <v>86</v>
      </c>
      <c r="BY2050">
        <v>8398.6200000000008</v>
      </c>
      <c r="CA2050" t="s">
        <v>529</v>
      </c>
      <c r="CC2050" t="s">
        <v>240</v>
      </c>
      <c r="CD2050" s="5" t="s">
        <v>245</v>
      </c>
      <c r="CE2050" t="s">
        <v>191</v>
      </c>
      <c r="CF2050" s="3">
        <v>45952</v>
      </c>
      <c r="CI2050">
        <v>1</v>
      </c>
      <c r="CJ2050">
        <v>1</v>
      </c>
      <c r="CK2050">
        <v>23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"080068619031"</f>
        <v>080068619031</v>
      </c>
      <c r="F2051" s="3">
        <v>45950</v>
      </c>
      <c r="G2051">
        <v>202607</v>
      </c>
      <c r="H2051" t="s">
        <v>79</v>
      </c>
      <c r="I2051" t="s">
        <v>80</v>
      </c>
      <c r="J2051" t="s">
        <v>91</v>
      </c>
      <c r="K2051" t="s">
        <v>78</v>
      </c>
      <c r="L2051" t="s">
        <v>148</v>
      </c>
      <c r="M2051" t="s">
        <v>149</v>
      </c>
      <c r="N2051" t="s">
        <v>2427</v>
      </c>
      <c r="O2051" t="s">
        <v>82</v>
      </c>
      <c r="P2051" t="str">
        <f>"4170064983                    "</f>
        <v xml:space="preserve">4170064983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17.46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55.42</v>
      </c>
      <c r="BM2051">
        <v>8.31</v>
      </c>
      <c r="BN2051">
        <v>63.73</v>
      </c>
      <c r="BO2051">
        <v>63.73</v>
      </c>
      <c r="BQ2051" t="s">
        <v>2428</v>
      </c>
      <c r="BR2051" t="s">
        <v>97</v>
      </c>
      <c r="BS2051" s="3">
        <v>45951</v>
      </c>
      <c r="BT2051" s="4">
        <v>0.34722222222222221</v>
      </c>
      <c r="BU2051" t="s">
        <v>2758</v>
      </c>
      <c r="BV2051" t="s">
        <v>86</v>
      </c>
      <c r="BY2051">
        <v>1200</v>
      </c>
      <c r="CA2051" t="s">
        <v>1463</v>
      </c>
      <c r="CC2051" t="s">
        <v>149</v>
      </c>
      <c r="CD2051">
        <v>2190</v>
      </c>
      <c r="CE2051" t="s">
        <v>147</v>
      </c>
      <c r="CF2051" s="3">
        <v>45951</v>
      </c>
      <c r="CI2051">
        <v>1</v>
      </c>
      <c r="CJ2051">
        <v>1</v>
      </c>
      <c r="CK2051">
        <v>22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"080068619036"</f>
        <v>080068619036</v>
      </c>
      <c r="F2052" s="3">
        <v>45950</v>
      </c>
      <c r="G2052">
        <v>202607</v>
      </c>
      <c r="H2052" t="s">
        <v>79</v>
      </c>
      <c r="I2052" t="s">
        <v>80</v>
      </c>
      <c r="J2052" t="s">
        <v>91</v>
      </c>
      <c r="K2052" t="s">
        <v>78</v>
      </c>
      <c r="L2052" t="s">
        <v>108</v>
      </c>
      <c r="M2052" t="s">
        <v>109</v>
      </c>
      <c r="N2052" t="s">
        <v>2689</v>
      </c>
      <c r="O2052" t="s">
        <v>82</v>
      </c>
      <c r="P2052" t="str">
        <f>"4170064884                    "</f>
        <v xml:space="preserve">4170064884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39.11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3</v>
      </c>
      <c r="BJ2052">
        <v>3.4</v>
      </c>
      <c r="BK2052">
        <v>3.5</v>
      </c>
      <c r="BL2052">
        <v>124.13</v>
      </c>
      <c r="BM2052">
        <v>18.62</v>
      </c>
      <c r="BN2052">
        <v>142.75</v>
      </c>
      <c r="BO2052">
        <v>142.75</v>
      </c>
      <c r="BQ2052" t="s">
        <v>2690</v>
      </c>
      <c r="BR2052" t="s">
        <v>97</v>
      </c>
      <c r="BS2052" s="3">
        <v>45951</v>
      </c>
      <c r="BT2052" s="4">
        <v>0.35208333333333336</v>
      </c>
      <c r="BU2052" t="s">
        <v>2759</v>
      </c>
      <c r="BV2052" t="s">
        <v>86</v>
      </c>
      <c r="BY2052">
        <v>16965</v>
      </c>
      <c r="CA2052" t="s">
        <v>294</v>
      </c>
      <c r="CC2052" t="s">
        <v>109</v>
      </c>
      <c r="CD2052">
        <v>6001</v>
      </c>
      <c r="CE2052" t="s">
        <v>191</v>
      </c>
      <c r="CF2052" s="3">
        <v>45951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"080068619048"</f>
        <v>080068619048</v>
      </c>
      <c r="F2053" s="3">
        <v>45950</v>
      </c>
      <c r="G2053">
        <v>202607</v>
      </c>
      <c r="H2053" t="s">
        <v>79</v>
      </c>
      <c r="I2053" t="s">
        <v>80</v>
      </c>
      <c r="J2053" t="s">
        <v>91</v>
      </c>
      <c r="K2053" t="s">
        <v>78</v>
      </c>
      <c r="L2053" t="s">
        <v>1095</v>
      </c>
      <c r="M2053" t="s">
        <v>1096</v>
      </c>
      <c r="N2053" t="s">
        <v>1097</v>
      </c>
      <c r="O2053" t="s">
        <v>82</v>
      </c>
      <c r="P2053" t="str">
        <f>"4170064989                    "</f>
        <v xml:space="preserve">4170064989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43.31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0.2</v>
      </c>
      <c r="BJ2053">
        <v>0.6</v>
      </c>
      <c r="BK2053">
        <v>1</v>
      </c>
      <c r="BL2053">
        <v>137.47</v>
      </c>
      <c r="BM2053">
        <v>20.62</v>
      </c>
      <c r="BN2053">
        <v>158.09</v>
      </c>
      <c r="BO2053">
        <v>158.09</v>
      </c>
      <c r="BQ2053" t="s">
        <v>1098</v>
      </c>
      <c r="BR2053" t="s">
        <v>97</v>
      </c>
      <c r="BS2053" s="3">
        <v>45951</v>
      </c>
      <c r="BT2053" s="4">
        <v>0.36875000000000002</v>
      </c>
      <c r="BU2053" t="s">
        <v>2760</v>
      </c>
      <c r="BV2053" t="s">
        <v>86</v>
      </c>
      <c r="BY2053">
        <v>3108.88</v>
      </c>
      <c r="CA2053" t="s">
        <v>2761</v>
      </c>
      <c r="CC2053" t="s">
        <v>1096</v>
      </c>
      <c r="CD2053">
        <v>2302</v>
      </c>
      <c r="CE2053" t="s">
        <v>147</v>
      </c>
      <c r="CF2053" s="3">
        <v>45951</v>
      </c>
      <c r="CI2053">
        <v>1</v>
      </c>
      <c r="CJ2053">
        <v>1</v>
      </c>
      <c r="CK2053">
        <v>23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"080068619067"</f>
        <v>080068619067</v>
      </c>
      <c r="F2054" s="3">
        <v>45950</v>
      </c>
      <c r="G2054">
        <v>202607</v>
      </c>
      <c r="H2054" t="s">
        <v>79</v>
      </c>
      <c r="I2054" t="s">
        <v>80</v>
      </c>
      <c r="J2054" t="s">
        <v>91</v>
      </c>
      <c r="K2054" t="s">
        <v>78</v>
      </c>
      <c r="L2054" t="s">
        <v>605</v>
      </c>
      <c r="M2054" t="s">
        <v>606</v>
      </c>
      <c r="N2054" t="s">
        <v>2098</v>
      </c>
      <c r="O2054" t="s">
        <v>82</v>
      </c>
      <c r="P2054" t="str">
        <f>"4170064880                    "</f>
        <v xml:space="preserve">4170064880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43.31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137.47</v>
      </c>
      <c r="BM2054">
        <v>20.62</v>
      </c>
      <c r="BN2054">
        <v>158.09</v>
      </c>
      <c r="BO2054">
        <v>158.09</v>
      </c>
      <c r="BQ2054" t="s">
        <v>2099</v>
      </c>
      <c r="BR2054" t="s">
        <v>97</v>
      </c>
      <c r="BS2054" s="3">
        <v>45951</v>
      </c>
      <c r="BT2054" s="4">
        <v>0.34930555555555554</v>
      </c>
      <c r="BU2054" t="s">
        <v>1094</v>
      </c>
      <c r="BV2054" t="s">
        <v>86</v>
      </c>
      <c r="BY2054">
        <v>1200</v>
      </c>
      <c r="CA2054" t="s">
        <v>1143</v>
      </c>
      <c r="CC2054" t="s">
        <v>606</v>
      </c>
      <c r="CD2054">
        <v>1947</v>
      </c>
      <c r="CE2054" t="s">
        <v>147</v>
      </c>
      <c r="CF2054" s="3">
        <v>45952</v>
      </c>
      <c r="CI2054">
        <v>1</v>
      </c>
      <c r="CJ2054">
        <v>1</v>
      </c>
      <c r="CK2054">
        <v>23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"080068619071"</f>
        <v>080068619071</v>
      </c>
      <c r="F2055" s="3">
        <v>45950</v>
      </c>
      <c r="G2055">
        <v>202607</v>
      </c>
      <c r="H2055" t="s">
        <v>79</v>
      </c>
      <c r="I2055" t="s">
        <v>80</v>
      </c>
      <c r="J2055" t="s">
        <v>91</v>
      </c>
      <c r="K2055" t="s">
        <v>78</v>
      </c>
      <c r="L2055" t="s">
        <v>195</v>
      </c>
      <c r="M2055" t="s">
        <v>196</v>
      </c>
      <c r="N2055" t="s">
        <v>2762</v>
      </c>
      <c r="O2055" t="s">
        <v>82</v>
      </c>
      <c r="P2055" t="str">
        <f>"4170064873                    "</f>
        <v xml:space="preserve">4170064873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43.31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0.7</v>
      </c>
      <c r="BJ2055">
        <v>1</v>
      </c>
      <c r="BK2055">
        <v>1</v>
      </c>
      <c r="BL2055">
        <v>137.47</v>
      </c>
      <c r="BM2055">
        <v>20.62</v>
      </c>
      <c r="BN2055">
        <v>158.09</v>
      </c>
      <c r="BO2055">
        <v>158.09</v>
      </c>
      <c r="BQ2055" t="s">
        <v>2763</v>
      </c>
      <c r="BR2055" t="s">
        <v>97</v>
      </c>
      <c r="BS2055" s="3">
        <v>45951</v>
      </c>
      <c r="BT2055" s="4">
        <v>0.38333333333333336</v>
      </c>
      <c r="BU2055" t="s">
        <v>1269</v>
      </c>
      <c r="BV2055" t="s">
        <v>86</v>
      </c>
      <c r="BY2055">
        <v>4763.16</v>
      </c>
      <c r="CA2055" t="s">
        <v>2764</v>
      </c>
      <c r="CC2055" t="s">
        <v>196</v>
      </c>
      <c r="CD2055">
        <v>1939</v>
      </c>
      <c r="CE2055" t="s">
        <v>191</v>
      </c>
      <c r="CF2055" s="3">
        <v>45952</v>
      </c>
      <c r="CI2055">
        <v>1</v>
      </c>
      <c r="CJ2055">
        <v>1</v>
      </c>
      <c r="CK2055">
        <v>23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"080068619181"</f>
        <v>080068619181</v>
      </c>
      <c r="F2056" s="3">
        <v>45950</v>
      </c>
      <c r="G2056">
        <v>202607</v>
      </c>
      <c r="H2056" t="s">
        <v>79</v>
      </c>
      <c r="I2056" t="s">
        <v>80</v>
      </c>
      <c r="J2056" t="s">
        <v>91</v>
      </c>
      <c r="K2056" t="s">
        <v>78</v>
      </c>
      <c r="L2056" t="s">
        <v>333</v>
      </c>
      <c r="M2056" t="s">
        <v>334</v>
      </c>
      <c r="N2056" t="s">
        <v>1388</v>
      </c>
      <c r="O2056" t="s">
        <v>82</v>
      </c>
      <c r="P2056" t="str">
        <f>"4170064991                    "</f>
        <v xml:space="preserve">4170064991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22.36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0.7</v>
      </c>
      <c r="BK2056">
        <v>1</v>
      </c>
      <c r="BL2056">
        <v>70.959999999999994</v>
      </c>
      <c r="BM2056">
        <v>10.64</v>
      </c>
      <c r="BN2056">
        <v>81.599999999999994</v>
      </c>
      <c r="BO2056">
        <v>81.599999999999994</v>
      </c>
      <c r="BQ2056" t="s">
        <v>1389</v>
      </c>
      <c r="BR2056" t="s">
        <v>97</v>
      </c>
      <c r="BS2056" s="3">
        <v>45951</v>
      </c>
      <c r="BT2056" s="4">
        <v>0.3840277777777778</v>
      </c>
      <c r="BU2056" t="s">
        <v>1390</v>
      </c>
      <c r="BV2056" t="s">
        <v>86</v>
      </c>
      <c r="BY2056">
        <v>3306</v>
      </c>
      <c r="CA2056" t="s">
        <v>142</v>
      </c>
      <c r="CC2056" t="s">
        <v>334</v>
      </c>
      <c r="CD2056">
        <v>6220</v>
      </c>
      <c r="CE2056" t="s">
        <v>191</v>
      </c>
      <c r="CF2056" s="3">
        <v>45951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"080068619186"</f>
        <v>080068619186</v>
      </c>
      <c r="F2057" s="3">
        <v>45950</v>
      </c>
      <c r="G2057">
        <v>202607</v>
      </c>
      <c r="H2057" t="s">
        <v>79</v>
      </c>
      <c r="I2057" t="s">
        <v>80</v>
      </c>
      <c r="J2057" t="s">
        <v>91</v>
      </c>
      <c r="K2057" t="s">
        <v>78</v>
      </c>
      <c r="L2057" t="s">
        <v>206</v>
      </c>
      <c r="M2057" t="s">
        <v>207</v>
      </c>
      <c r="N2057" t="s">
        <v>458</v>
      </c>
      <c r="O2057" t="s">
        <v>82</v>
      </c>
      <c r="P2057" t="str">
        <f>"4170064974                    "</f>
        <v xml:space="preserve">4170064974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22.36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70.959999999999994</v>
      </c>
      <c r="BM2057">
        <v>10.64</v>
      </c>
      <c r="BN2057">
        <v>81.599999999999994</v>
      </c>
      <c r="BO2057">
        <v>81.599999999999994</v>
      </c>
      <c r="BQ2057" t="s">
        <v>459</v>
      </c>
      <c r="BR2057" t="s">
        <v>97</v>
      </c>
      <c r="BS2057" s="3">
        <v>45951</v>
      </c>
      <c r="BT2057" s="4">
        <v>0.41944444444444445</v>
      </c>
      <c r="BU2057" t="s">
        <v>1036</v>
      </c>
      <c r="BV2057" t="s">
        <v>86</v>
      </c>
      <c r="BY2057">
        <v>1200</v>
      </c>
      <c r="CA2057" t="s">
        <v>461</v>
      </c>
      <c r="CC2057" t="s">
        <v>207</v>
      </c>
      <c r="CD2057">
        <v>7535</v>
      </c>
      <c r="CE2057" t="s">
        <v>147</v>
      </c>
      <c r="CF2057" s="3">
        <v>45952</v>
      </c>
      <c r="CI2057">
        <v>1</v>
      </c>
      <c r="CJ2057">
        <v>1</v>
      </c>
      <c r="CK2057">
        <v>21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"080068619198"</f>
        <v>080068619198</v>
      </c>
      <c r="F2058" s="3">
        <v>45950</v>
      </c>
      <c r="G2058">
        <v>202607</v>
      </c>
      <c r="H2058" t="s">
        <v>79</v>
      </c>
      <c r="I2058" t="s">
        <v>80</v>
      </c>
      <c r="J2058" t="s">
        <v>91</v>
      </c>
      <c r="K2058" t="s">
        <v>78</v>
      </c>
      <c r="L2058" t="s">
        <v>108</v>
      </c>
      <c r="M2058" t="s">
        <v>109</v>
      </c>
      <c r="N2058" t="s">
        <v>938</v>
      </c>
      <c r="O2058" t="s">
        <v>82</v>
      </c>
      <c r="P2058" t="str">
        <f>"4170064966                    "</f>
        <v xml:space="preserve">4170064966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22.36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70.959999999999994</v>
      </c>
      <c r="BM2058">
        <v>10.64</v>
      </c>
      <c r="BN2058">
        <v>81.599999999999994</v>
      </c>
      <c r="BO2058">
        <v>81.599999999999994</v>
      </c>
      <c r="BQ2058" t="s">
        <v>939</v>
      </c>
      <c r="BR2058" t="s">
        <v>97</v>
      </c>
      <c r="BS2058" s="3">
        <v>45951</v>
      </c>
      <c r="BT2058" s="4">
        <v>0.41875000000000001</v>
      </c>
      <c r="BU2058" t="s">
        <v>940</v>
      </c>
      <c r="BV2058" t="s">
        <v>86</v>
      </c>
      <c r="BY2058">
        <v>1200</v>
      </c>
      <c r="CA2058" t="s">
        <v>232</v>
      </c>
      <c r="CC2058" t="s">
        <v>109</v>
      </c>
      <c r="CD2058">
        <v>6056</v>
      </c>
      <c r="CE2058" t="s">
        <v>147</v>
      </c>
      <c r="CF2058" s="3">
        <v>45951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"080068619206"</f>
        <v>080068619206</v>
      </c>
      <c r="F2059" s="3">
        <v>45950</v>
      </c>
      <c r="G2059">
        <v>202607</v>
      </c>
      <c r="H2059" t="s">
        <v>79</v>
      </c>
      <c r="I2059" t="s">
        <v>80</v>
      </c>
      <c r="J2059" t="s">
        <v>91</v>
      </c>
      <c r="K2059" t="s">
        <v>78</v>
      </c>
      <c r="L2059" t="s">
        <v>223</v>
      </c>
      <c r="M2059" t="s">
        <v>224</v>
      </c>
      <c r="N2059" t="s">
        <v>505</v>
      </c>
      <c r="O2059" t="s">
        <v>226</v>
      </c>
      <c r="P2059" t="str">
        <f>"4170064956                    "</f>
        <v xml:space="preserve">4170064956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17.47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4</v>
      </c>
      <c r="BJ2059">
        <v>2.2000000000000002</v>
      </c>
      <c r="BK2059">
        <v>4</v>
      </c>
      <c r="BL2059">
        <v>55.44</v>
      </c>
      <c r="BM2059">
        <v>8.32</v>
      </c>
      <c r="BN2059">
        <v>63.76</v>
      </c>
      <c r="BO2059">
        <v>63.76</v>
      </c>
      <c r="BQ2059" t="s">
        <v>506</v>
      </c>
      <c r="BR2059" t="s">
        <v>97</v>
      </c>
      <c r="BS2059" s="3">
        <v>45951</v>
      </c>
      <c r="BT2059" s="4">
        <v>0.53402777777777777</v>
      </c>
      <c r="BU2059" t="s">
        <v>507</v>
      </c>
      <c r="BV2059" t="s">
        <v>86</v>
      </c>
      <c r="BY2059">
        <v>10982</v>
      </c>
      <c r="CA2059" t="s">
        <v>508</v>
      </c>
      <c r="CC2059" t="s">
        <v>224</v>
      </c>
      <c r="CD2059">
        <v>1459</v>
      </c>
      <c r="CE2059" t="s">
        <v>107</v>
      </c>
      <c r="CF2059" s="3">
        <v>45951</v>
      </c>
      <c r="CI2059">
        <v>1</v>
      </c>
      <c r="CJ2059">
        <v>1</v>
      </c>
      <c r="CK2059">
        <v>32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"080068619209"</f>
        <v>080068619209</v>
      </c>
      <c r="F2060" s="3">
        <v>45950</v>
      </c>
      <c r="G2060">
        <v>202607</v>
      </c>
      <c r="H2060" t="s">
        <v>79</v>
      </c>
      <c r="I2060" t="s">
        <v>80</v>
      </c>
      <c r="J2060" t="s">
        <v>91</v>
      </c>
      <c r="K2060" t="s">
        <v>78</v>
      </c>
      <c r="L2060" t="s">
        <v>223</v>
      </c>
      <c r="M2060" t="s">
        <v>224</v>
      </c>
      <c r="N2060" t="s">
        <v>1671</v>
      </c>
      <c r="O2060" t="s">
        <v>82</v>
      </c>
      <c r="P2060" t="str">
        <f>"4170065033                    "</f>
        <v xml:space="preserve">4170065033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17.46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55.42</v>
      </c>
      <c r="BM2060">
        <v>8.31</v>
      </c>
      <c r="BN2060">
        <v>63.73</v>
      </c>
      <c r="BO2060">
        <v>63.73</v>
      </c>
      <c r="BQ2060" t="s">
        <v>1672</v>
      </c>
      <c r="BR2060" t="s">
        <v>97</v>
      </c>
      <c r="BS2060" s="3">
        <v>45951</v>
      </c>
      <c r="BT2060" s="4">
        <v>0.35208333333333336</v>
      </c>
      <c r="BU2060" t="s">
        <v>2765</v>
      </c>
      <c r="BV2060" t="s">
        <v>86</v>
      </c>
      <c r="BY2060">
        <v>1200</v>
      </c>
      <c r="CA2060" t="s">
        <v>508</v>
      </c>
      <c r="CC2060" t="s">
        <v>224</v>
      </c>
      <c r="CD2060">
        <v>1459</v>
      </c>
      <c r="CE2060" t="s">
        <v>147</v>
      </c>
      <c r="CF2060" s="3">
        <v>45951</v>
      </c>
      <c r="CI2060">
        <v>1</v>
      </c>
      <c r="CJ2060">
        <v>1</v>
      </c>
      <c r="CK2060">
        <v>22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"080068619241"</f>
        <v>080068619241</v>
      </c>
      <c r="F2061" s="3">
        <v>45950</v>
      </c>
      <c r="G2061">
        <v>202607</v>
      </c>
      <c r="H2061" t="s">
        <v>79</v>
      </c>
      <c r="I2061" t="s">
        <v>80</v>
      </c>
      <c r="J2061" t="s">
        <v>91</v>
      </c>
      <c r="K2061" t="s">
        <v>78</v>
      </c>
      <c r="L2061" t="s">
        <v>79</v>
      </c>
      <c r="M2061" t="s">
        <v>80</v>
      </c>
      <c r="N2061" t="s">
        <v>1719</v>
      </c>
      <c r="O2061" t="s">
        <v>82</v>
      </c>
      <c r="P2061" t="str">
        <f>"4170064951                    "</f>
        <v xml:space="preserve">4170064951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17.46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0.7</v>
      </c>
      <c r="BJ2061">
        <v>1.6</v>
      </c>
      <c r="BK2061">
        <v>2</v>
      </c>
      <c r="BL2061">
        <v>55.42</v>
      </c>
      <c r="BM2061">
        <v>8.31</v>
      </c>
      <c r="BN2061">
        <v>63.73</v>
      </c>
      <c r="BO2061">
        <v>63.73</v>
      </c>
      <c r="BQ2061" t="s">
        <v>1720</v>
      </c>
      <c r="BR2061" t="s">
        <v>97</v>
      </c>
      <c r="BS2061" s="3">
        <v>45952</v>
      </c>
      <c r="BT2061" s="4">
        <v>0.43194444444444446</v>
      </c>
      <c r="BU2061" t="s">
        <v>1721</v>
      </c>
      <c r="BV2061" t="s">
        <v>90</v>
      </c>
      <c r="BW2061" t="s">
        <v>188</v>
      </c>
      <c r="BX2061" t="s">
        <v>2766</v>
      </c>
      <c r="BY2061">
        <v>8157.65</v>
      </c>
      <c r="CC2061" t="s">
        <v>80</v>
      </c>
      <c r="CD2061">
        <v>1685</v>
      </c>
      <c r="CE2061" t="s">
        <v>147</v>
      </c>
      <c r="CF2061" s="3">
        <v>45953</v>
      </c>
      <c r="CI2061">
        <v>1</v>
      </c>
      <c r="CJ2061">
        <v>2</v>
      </c>
      <c r="CK2061">
        <v>22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"080068619263"</f>
        <v>080068619263</v>
      </c>
      <c r="F2062" s="3">
        <v>45950</v>
      </c>
      <c r="G2062">
        <v>202607</v>
      </c>
      <c r="H2062" t="s">
        <v>79</v>
      </c>
      <c r="I2062" t="s">
        <v>80</v>
      </c>
      <c r="J2062" t="s">
        <v>91</v>
      </c>
      <c r="K2062" t="s">
        <v>78</v>
      </c>
      <c r="L2062" t="s">
        <v>300</v>
      </c>
      <c r="M2062" t="s">
        <v>301</v>
      </c>
      <c r="N2062" t="s">
        <v>335</v>
      </c>
      <c r="O2062" t="s">
        <v>82</v>
      </c>
      <c r="P2062" t="str">
        <f>"4170064988                    "</f>
        <v xml:space="preserve">4170064988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31.44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99.79</v>
      </c>
      <c r="BM2062">
        <v>14.97</v>
      </c>
      <c r="BN2062">
        <v>114.76</v>
      </c>
      <c r="BO2062">
        <v>114.76</v>
      </c>
      <c r="BQ2062" t="s">
        <v>475</v>
      </c>
      <c r="BR2062" t="s">
        <v>97</v>
      </c>
      <c r="BS2062" s="3">
        <v>45951</v>
      </c>
      <c r="BT2062" s="4">
        <v>0.40277777777777779</v>
      </c>
      <c r="BU2062" t="s">
        <v>2724</v>
      </c>
      <c r="BV2062" t="s">
        <v>86</v>
      </c>
      <c r="BY2062">
        <v>1200</v>
      </c>
      <c r="CA2062" t="s">
        <v>974</v>
      </c>
      <c r="CC2062" t="s">
        <v>301</v>
      </c>
      <c r="CD2062">
        <v>1754</v>
      </c>
      <c r="CE2062" t="s">
        <v>147</v>
      </c>
      <c r="CF2062" s="3">
        <v>45952</v>
      </c>
      <c r="CI2062">
        <v>1</v>
      </c>
      <c r="CJ2062">
        <v>1</v>
      </c>
      <c r="CK2062">
        <v>24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"080068619279"</f>
        <v>080068619279</v>
      </c>
      <c r="F2063" s="3">
        <v>45950</v>
      </c>
      <c r="G2063">
        <v>202607</v>
      </c>
      <c r="H2063" t="s">
        <v>79</v>
      </c>
      <c r="I2063" t="s">
        <v>80</v>
      </c>
      <c r="J2063" t="s">
        <v>91</v>
      </c>
      <c r="K2063" t="s">
        <v>78</v>
      </c>
      <c r="L2063" t="s">
        <v>168</v>
      </c>
      <c r="M2063" t="s">
        <v>169</v>
      </c>
      <c r="N2063" t="s">
        <v>1105</v>
      </c>
      <c r="O2063" t="s">
        <v>82</v>
      </c>
      <c r="P2063" t="str">
        <f>"4170065018                    "</f>
        <v xml:space="preserve">4170065018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22.36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70.959999999999994</v>
      </c>
      <c r="BM2063">
        <v>10.64</v>
      </c>
      <c r="BN2063">
        <v>81.599999999999994</v>
      </c>
      <c r="BO2063">
        <v>81.599999999999994</v>
      </c>
      <c r="BQ2063" t="s">
        <v>1106</v>
      </c>
      <c r="BR2063" t="s">
        <v>97</v>
      </c>
      <c r="BS2063" s="3">
        <v>45951</v>
      </c>
      <c r="BT2063" s="4">
        <v>0.35902777777777778</v>
      </c>
      <c r="BU2063" t="s">
        <v>2767</v>
      </c>
      <c r="BV2063" t="s">
        <v>86</v>
      </c>
      <c r="BY2063">
        <v>1200</v>
      </c>
      <c r="CA2063">
        <v>8602010437080</v>
      </c>
      <c r="CC2063" t="s">
        <v>169</v>
      </c>
      <c r="CD2063" s="5" t="s">
        <v>1108</v>
      </c>
      <c r="CE2063" t="s">
        <v>147</v>
      </c>
      <c r="CF2063" s="3">
        <v>45951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"080068619299"</f>
        <v>080068619299</v>
      </c>
      <c r="F2064" s="3">
        <v>45950</v>
      </c>
      <c r="G2064">
        <v>202607</v>
      </c>
      <c r="H2064" t="s">
        <v>79</v>
      </c>
      <c r="I2064" t="s">
        <v>80</v>
      </c>
      <c r="J2064" t="s">
        <v>91</v>
      </c>
      <c r="K2064" t="s">
        <v>78</v>
      </c>
      <c r="L2064" t="s">
        <v>1246</v>
      </c>
      <c r="M2064" t="s">
        <v>1247</v>
      </c>
      <c r="N2064" t="s">
        <v>1248</v>
      </c>
      <c r="O2064" t="s">
        <v>82</v>
      </c>
      <c r="P2064" t="str">
        <f>"4170064907                    "</f>
        <v xml:space="preserve">4170064907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31.44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99.79</v>
      </c>
      <c r="BM2064">
        <v>14.97</v>
      </c>
      <c r="BN2064">
        <v>114.76</v>
      </c>
      <c r="BO2064">
        <v>114.76</v>
      </c>
      <c r="BQ2064" t="s">
        <v>1249</v>
      </c>
      <c r="BR2064" t="s">
        <v>97</v>
      </c>
      <c r="BS2064" s="3">
        <v>45951</v>
      </c>
      <c r="BT2064" s="4">
        <v>0.33750000000000002</v>
      </c>
      <c r="BU2064" t="s">
        <v>2768</v>
      </c>
      <c r="BV2064" t="s">
        <v>86</v>
      </c>
      <c r="BY2064">
        <v>1200</v>
      </c>
      <c r="CA2064" t="s">
        <v>1251</v>
      </c>
      <c r="CC2064" t="s">
        <v>1247</v>
      </c>
      <c r="CD2064">
        <v>2210</v>
      </c>
      <c r="CE2064" t="s">
        <v>147</v>
      </c>
      <c r="CF2064" s="3">
        <v>45951</v>
      </c>
      <c r="CI2064">
        <v>1</v>
      </c>
      <c r="CJ2064">
        <v>1</v>
      </c>
      <c r="CK2064">
        <v>24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"080068619301"</f>
        <v>080068619301</v>
      </c>
      <c r="F2065" s="3">
        <v>45950</v>
      </c>
      <c r="G2065">
        <v>202607</v>
      </c>
      <c r="H2065" t="s">
        <v>79</v>
      </c>
      <c r="I2065" t="s">
        <v>80</v>
      </c>
      <c r="J2065" t="s">
        <v>91</v>
      </c>
      <c r="K2065" t="s">
        <v>78</v>
      </c>
      <c r="L2065" t="s">
        <v>223</v>
      </c>
      <c r="M2065" t="s">
        <v>224</v>
      </c>
      <c r="N2065" t="s">
        <v>1671</v>
      </c>
      <c r="O2065" t="s">
        <v>82</v>
      </c>
      <c r="P2065" t="str">
        <f>"4170064964                    "</f>
        <v xml:space="preserve">4170064964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17.46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2</v>
      </c>
      <c r="BJ2065">
        <v>1.1000000000000001</v>
      </c>
      <c r="BK2065">
        <v>2</v>
      </c>
      <c r="BL2065">
        <v>55.42</v>
      </c>
      <c r="BM2065">
        <v>8.31</v>
      </c>
      <c r="BN2065">
        <v>63.73</v>
      </c>
      <c r="BO2065">
        <v>63.73</v>
      </c>
      <c r="BQ2065" t="s">
        <v>1672</v>
      </c>
      <c r="BR2065" t="s">
        <v>97</v>
      </c>
      <c r="BS2065" s="3">
        <v>45951</v>
      </c>
      <c r="BT2065" s="4">
        <v>0.35416666666666669</v>
      </c>
      <c r="BU2065" t="s">
        <v>2730</v>
      </c>
      <c r="BV2065" t="s">
        <v>86</v>
      </c>
      <c r="BY2065">
        <v>5670</v>
      </c>
      <c r="CA2065" t="s">
        <v>508</v>
      </c>
      <c r="CC2065" t="s">
        <v>224</v>
      </c>
      <c r="CD2065">
        <v>1459</v>
      </c>
      <c r="CE2065" t="s">
        <v>107</v>
      </c>
      <c r="CF2065" s="3">
        <v>45951</v>
      </c>
      <c r="CI2065">
        <v>1</v>
      </c>
      <c r="CJ2065">
        <v>1</v>
      </c>
      <c r="CK2065">
        <v>22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"080068619319"</f>
        <v>080068619319</v>
      </c>
      <c r="F2066" s="3">
        <v>45950</v>
      </c>
      <c r="G2066">
        <v>202607</v>
      </c>
      <c r="H2066" t="s">
        <v>79</v>
      </c>
      <c r="I2066" t="s">
        <v>80</v>
      </c>
      <c r="J2066" t="s">
        <v>91</v>
      </c>
      <c r="K2066" t="s">
        <v>78</v>
      </c>
      <c r="L2066" t="s">
        <v>206</v>
      </c>
      <c r="M2066" t="s">
        <v>207</v>
      </c>
      <c r="N2066" t="s">
        <v>656</v>
      </c>
      <c r="O2066" t="s">
        <v>82</v>
      </c>
      <c r="P2066" t="str">
        <f>"4170065004                    "</f>
        <v xml:space="preserve">4170065004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22.36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70.959999999999994</v>
      </c>
      <c r="BM2066">
        <v>10.64</v>
      </c>
      <c r="BN2066">
        <v>81.599999999999994</v>
      </c>
      <c r="BO2066">
        <v>81.599999999999994</v>
      </c>
      <c r="BQ2066" t="s">
        <v>657</v>
      </c>
      <c r="BR2066" t="s">
        <v>97</v>
      </c>
      <c r="BS2066" s="3">
        <v>45951</v>
      </c>
      <c r="BT2066" s="4">
        <v>0.41597222222222224</v>
      </c>
      <c r="BU2066" t="s">
        <v>658</v>
      </c>
      <c r="BV2066" t="s">
        <v>86</v>
      </c>
      <c r="BY2066">
        <v>1200</v>
      </c>
      <c r="CA2066" t="s">
        <v>211</v>
      </c>
      <c r="CC2066" t="s">
        <v>207</v>
      </c>
      <c r="CD2066">
        <v>7441</v>
      </c>
      <c r="CE2066" t="s">
        <v>147</v>
      </c>
      <c r="CF2066" s="3">
        <v>45952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"080068619337"</f>
        <v>080068619337</v>
      </c>
      <c r="F2067" s="3">
        <v>45950</v>
      </c>
      <c r="G2067">
        <v>202607</v>
      </c>
      <c r="H2067" t="s">
        <v>79</v>
      </c>
      <c r="I2067" t="s">
        <v>80</v>
      </c>
      <c r="J2067" t="s">
        <v>91</v>
      </c>
      <c r="K2067" t="s">
        <v>78</v>
      </c>
      <c r="L2067" t="s">
        <v>2260</v>
      </c>
      <c r="M2067" t="s">
        <v>2261</v>
      </c>
      <c r="N2067" t="s">
        <v>2262</v>
      </c>
      <c r="O2067" t="s">
        <v>82</v>
      </c>
      <c r="P2067" t="str">
        <f>"4170065055                    "</f>
        <v xml:space="preserve">4170065055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43.31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137.47</v>
      </c>
      <c r="BM2067">
        <v>20.62</v>
      </c>
      <c r="BN2067">
        <v>158.09</v>
      </c>
      <c r="BO2067">
        <v>158.09</v>
      </c>
      <c r="BQ2067" t="s">
        <v>2263</v>
      </c>
      <c r="BR2067" t="s">
        <v>97</v>
      </c>
      <c r="BS2067" s="3">
        <v>45951</v>
      </c>
      <c r="BT2067" s="4">
        <v>0.5541666666666667</v>
      </c>
      <c r="BU2067" t="s">
        <v>2769</v>
      </c>
      <c r="BV2067" t="s">
        <v>90</v>
      </c>
      <c r="BW2067" t="s">
        <v>864</v>
      </c>
      <c r="BX2067" t="s">
        <v>2605</v>
      </c>
      <c r="BY2067">
        <v>1200</v>
      </c>
      <c r="CA2067" t="s">
        <v>2266</v>
      </c>
      <c r="CC2067" t="s">
        <v>2261</v>
      </c>
      <c r="CD2067" s="5" t="s">
        <v>2267</v>
      </c>
      <c r="CE2067" t="s">
        <v>147</v>
      </c>
      <c r="CF2067" s="3">
        <v>45952</v>
      </c>
      <c r="CI2067">
        <v>1</v>
      </c>
      <c r="CJ2067">
        <v>1</v>
      </c>
      <c r="CK2067">
        <v>23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"080068619340"</f>
        <v>080068619340</v>
      </c>
      <c r="F2068" s="3">
        <v>45950</v>
      </c>
      <c r="G2068">
        <v>202607</v>
      </c>
      <c r="H2068" t="s">
        <v>79</v>
      </c>
      <c r="I2068" t="s">
        <v>80</v>
      </c>
      <c r="J2068" t="s">
        <v>91</v>
      </c>
      <c r="K2068" t="s">
        <v>78</v>
      </c>
      <c r="L2068" t="s">
        <v>322</v>
      </c>
      <c r="M2068" t="s">
        <v>322</v>
      </c>
      <c r="N2068" t="s">
        <v>376</v>
      </c>
      <c r="O2068" t="s">
        <v>82</v>
      </c>
      <c r="P2068" t="str">
        <f>"4170064967                    "</f>
        <v xml:space="preserve">4170064967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43.31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137.47</v>
      </c>
      <c r="BM2068">
        <v>20.62</v>
      </c>
      <c r="BN2068">
        <v>158.09</v>
      </c>
      <c r="BO2068">
        <v>158.09</v>
      </c>
      <c r="BQ2068" t="s">
        <v>377</v>
      </c>
      <c r="BR2068" t="s">
        <v>97</v>
      </c>
      <c r="BS2068" s="3">
        <v>45951</v>
      </c>
      <c r="BT2068" s="4">
        <v>0.59444444444444444</v>
      </c>
      <c r="BU2068" t="s">
        <v>1402</v>
      </c>
      <c r="BV2068" t="s">
        <v>90</v>
      </c>
      <c r="BW2068" t="s">
        <v>347</v>
      </c>
      <c r="BX2068" t="s">
        <v>2740</v>
      </c>
      <c r="BY2068">
        <v>1200</v>
      </c>
      <c r="CA2068" t="s">
        <v>1917</v>
      </c>
      <c r="CC2068" t="s">
        <v>322</v>
      </c>
      <c r="CD2068">
        <v>7646</v>
      </c>
      <c r="CE2068" t="s">
        <v>147</v>
      </c>
      <c r="CF2068" s="3">
        <v>45952</v>
      </c>
      <c r="CI2068">
        <v>1</v>
      </c>
      <c r="CJ2068">
        <v>1</v>
      </c>
      <c r="CK2068">
        <v>23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"080068619435"</f>
        <v>080068619435</v>
      </c>
      <c r="F2069" s="3">
        <v>45950</v>
      </c>
      <c r="G2069">
        <v>202607</v>
      </c>
      <c r="H2069" t="s">
        <v>79</v>
      </c>
      <c r="I2069" t="s">
        <v>80</v>
      </c>
      <c r="J2069" t="s">
        <v>91</v>
      </c>
      <c r="K2069" t="s">
        <v>78</v>
      </c>
      <c r="L2069" t="s">
        <v>121</v>
      </c>
      <c r="M2069" t="s">
        <v>122</v>
      </c>
      <c r="N2069" t="s">
        <v>123</v>
      </c>
      <c r="O2069" t="s">
        <v>82</v>
      </c>
      <c r="P2069" t="str">
        <f>"4170065103                    "</f>
        <v xml:space="preserve">4170065103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39.11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3.1</v>
      </c>
      <c r="BK2069">
        <v>3.5</v>
      </c>
      <c r="BL2069">
        <v>124.13</v>
      </c>
      <c r="BM2069">
        <v>18.62</v>
      </c>
      <c r="BN2069">
        <v>142.75</v>
      </c>
      <c r="BO2069">
        <v>142.75</v>
      </c>
      <c r="BQ2069" t="s">
        <v>124</v>
      </c>
      <c r="BR2069" t="s">
        <v>97</v>
      </c>
      <c r="BS2069" s="3">
        <v>45951</v>
      </c>
      <c r="BT2069" s="4">
        <v>0.34236111111111112</v>
      </c>
      <c r="BU2069" t="s">
        <v>757</v>
      </c>
      <c r="BV2069" t="s">
        <v>86</v>
      </c>
      <c r="BY2069">
        <v>15360</v>
      </c>
      <c r="CA2069" t="s">
        <v>758</v>
      </c>
      <c r="CC2069" t="s">
        <v>122</v>
      </c>
      <c r="CD2069">
        <v>4051</v>
      </c>
      <c r="CE2069" t="s">
        <v>191</v>
      </c>
      <c r="CF2069" s="3">
        <v>45952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"080068619455"</f>
        <v>080068619455</v>
      </c>
      <c r="F2070" s="3">
        <v>45950</v>
      </c>
      <c r="G2070">
        <v>202607</v>
      </c>
      <c r="H2070" t="s">
        <v>79</v>
      </c>
      <c r="I2070" t="s">
        <v>80</v>
      </c>
      <c r="J2070" t="s">
        <v>91</v>
      </c>
      <c r="K2070" t="s">
        <v>78</v>
      </c>
      <c r="L2070" t="s">
        <v>114</v>
      </c>
      <c r="M2070" t="s">
        <v>115</v>
      </c>
      <c r="N2070" t="s">
        <v>746</v>
      </c>
      <c r="O2070" t="s">
        <v>82</v>
      </c>
      <c r="P2070" t="str">
        <f>"4170065052                    "</f>
        <v xml:space="preserve">4170065052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22.36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70.959999999999994</v>
      </c>
      <c r="BM2070">
        <v>10.64</v>
      </c>
      <c r="BN2070">
        <v>81.599999999999994</v>
      </c>
      <c r="BO2070">
        <v>81.599999999999994</v>
      </c>
      <c r="BQ2070" t="s">
        <v>747</v>
      </c>
      <c r="BR2070" t="s">
        <v>97</v>
      </c>
      <c r="BS2070" s="3">
        <v>45951</v>
      </c>
      <c r="BT2070" s="4">
        <v>0.43611111111111112</v>
      </c>
      <c r="BU2070" t="s">
        <v>2770</v>
      </c>
      <c r="BV2070" t="s">
        <v>86</v>
      </c>
      <c r="BY2070">
        <v>1200</v>
      </c>
      <c r="CA2070" t="s">
        <v>749</v>
      </c>
      <c r="CC2070" t="s">
        <v>115</v>
      </c>
      <c r="CD2070">
        <v>5201</v>
      </c>
      <c r="CE2070" t="s">
        <v>147</v>
      </c>
      <c r="CF2070" s="3">
        <v>45951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"080068619478"</f>
        <v>080068619478</v>
      </c>
      <c r="F2071" s="3">
        <v>45950</v>
      </c>
      <c r="G2071">
        <v>202607</v>
      </c>
      <c r="H2071" t="s">
        <v>79</v>
      </c>
      <c r="I2071" t="s">
        <v>80</v>
      </c>
      <c r="J2071" t="s">
        <v>91</v>
      </c>
      <c r="K2071" t="s">
        <v>78</v>
      </c>
      <c r="L2071" t="s">
        <v>271</v>
      </c>
      <c r="M2071" t="s">
        <v>272</v>
      </c>
      <c r="N2071" t="s">
        <v>443</v>
      </c>
      <c r="O2071" t="s">
        <v>82</v>
      </c>
      <c r="P2071" t="str">
        <f>"4170064987                    "</f>
        <v xml:space="preserve">4170064987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17.46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55.42</v>
      </c>
      <c r="BM2071">
        <v>8.31</v>
      </c>
      <c r="BN2071">
        <v>63.73</v>
      </c>
      <c r="BO2071">
        <v>63.73</v>
      </c>
      <c r="BQ2071" t="s">
        <v>444</v>
      </c>
      <c r="BR2071" t="s">
        <v>97</v>
      </c>
      <c r="BS2071" s="3">
        <v>45951</v>
      </c>
      <c r="BT2071" s="4">
        <v>0.4375</v>
      </c>
      <c r="BU2071" t="s">
        <v>460</v>
      </c>
      <c r="BV2071" t="s">
        <v>86</v>
      </c>
      <c r="BY2071">
        <v>1200</v>
      </c>
      <c r="CA2071" t="s">
        <v>661</v>
      </c>
      <c r="CC2071" t="s">
        <v>272</v>
      </c>
      <c r="CD2071">
        <v>1428</v>
      </c>
      <c r="CE2071" t="s">
        <v>147</v>
      </c>
      <c r="CF2071" s="3">
        <v>45952</v>
      </c>
      <c r="CI2071">
        <v>1</v>
      </c>
      <c r="CJ2071">
        <v>1</v>
      </c>
      <c r="CK2071">
        <v>22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"080068619501"</f>
        <v>080068619501</v>
      </c>
      <c r="F2072" s="3">
        <v>45950</v>
      </c>
      <c r="G2072">
        <v>202607</v>
      </c>
      <c r="H2072" t="s">
        <v>79</v>
      </c>
      <c r="I2072" t="s">
        <v>80</v>
      </c>
      <c r="J2072" t="s">
        <v>91</v>
      </c>
      <c r="K2072" t="s">
        <v>78</v>
      </c>
      <c r="L2072" t="s">
        <v>92</v>
      </c>
      <c r="M2072" t="s">
        <v>93</v>
      </c>
      <c r="N2072" t="s">
        <v>601</v>
      </c>
      <c r="O2072" t="s">
        <v>82</v>
      </c>
      <c r="P2072" t="str">
        <f>"4170064918                    "</f>
        <v xml:space="preserve">4170064918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22.36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0.2</v>
      </c>
      <c r="BJ2072">
        <v>0.4</v>
      </c>
      <c r="BK2072">
        <v>0.5</v>
      </c>
      <c r="BL2072">
        <v>70.959999999999994</v>
      </c>
      <c r="BM2072">
        <v>10.64</v>
      </c>
      <c r="BN2072">
        <v>81.599999999999994</v>
      </c>
      <c r="BO2072">
        <v>81.599999999999994</v>
      </c>
      <c r="BQ2072" t="s">
        <v>602</v>
      </c>
      <c r="BR2072" t="s">
        <v>97</v>
      </c>
      <c r="BS2072" s="3">
        <v>45951</v>
      </c>
      <c r="BT2072" s="4">
        <v>0.4861111111111111</v>
      </c>
      <c r="BU2072" t="s">
        <v>852</v>
      </c>
      <c r="BV2072" t="s">
        <v>86</v>
      </c>
      <c r="BY2072">
        <v>1914.53</v>
      </c>
      <c r="CC2072" t="s">
        <v>93</v>
      </c>
      <c r="CD2072">
        <v>3212</v>
      </c>
      <c r="CE2072" t="s">
        <v>147</v>
      </c>
      <c r="CF2072" s="3">
        <v>45952</v>
      </c>
      <c r="CI2072">
        <v>2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"080068619620"</f>
        <v>080068619620</v>
      </c>
      <c r="F2073" s="3">
        <v>45950</v>
      </c>
      <c r="G2073">
        <v>202607</v>
      </c>
      <c r="H2073" t="s">
        <v>79</v>
      </c>
      <c r="I2073" t="s">
        <v>80</v>
      </c>
      <c r="J2073" t="s">
        <v>91</v>
      </c>
      <c r="K2073" t="s">
        <v>78</v>
      </c>
      <c r="L2073" t="s">
        <v>206</v>
      </c>
      <c r="M2073" t="s">
        <v>207</v>
      </c>
      <c r="N2073" t="s">
        <v>656</v>
      </c>
      <c r="O2073" t="s">
        <v>82</v>
      </c>
      <c r="P2073" t="str">
        <f>"4170065053                    "</f>
        <v xml:space="preserve">4170065053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22.36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70.959999999999994</v>
      </c>
      <c r="BM2073">
        <v>10.64</v>
      </c>
      <c r="BN2073">
        <v>81.599999999999994</v>
      </c>
      <c r="BO2073">
        <v>81.599999999999994</v>
      </c>
      <c r="BQ2073" t="s">
        <v>657</v>
      </c>
      <c r="BR2073" t="s">
        <v>97</v>
      </c>
      <c r="BS2073" s="3">
        <v>45951</v>
      </c>
      <c r="BT2073" s="4">
        <v>0.41597222222222224</v>
      </c>
      <c r="BU2073" t="s">
        <v>658</v>
      </c>
      <c r="BV2073" t="s">
        <v>86</v>
      </c>
      <c r="BY2073">
        <v>1200</v>
      </c>
      <c r="CA2073" t="s">
        <v>211</v>
      </c>
      <c r="CC2073" t="s">
        <v>207</v>
      </c>
      <c r="CD2073">
        <v>7441</v>
      </c>
      <c r="CE2073" t="s">
        <v>1955</v>
      </c>
      <c r="CF2073" s="3">
        <v>45952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"080068619641"</f>
        <v>080068619641</v>
      </c>
      <c r="F2074" s="3">
        <v>45950</v>
      </c>
      <c r="G2074">
        <v>202607</v>
      </c>
      <c r="H2074" t="s">
        <v>79</v>
      </c>
      <c r="I2074" t="s">
        <v>80</v>
      </c>
      <c r="J2074" t="s">
        <v>91</v>
      </c>
      <c r="K2074" t="s">
        <v>78</v>
      </c>
      <c r="L2074" t="s">
        <v>206</v>
      </c>
      <c r="M2074" t="s">
        <v>207</v>
      </c>
      <c r="N2074" t="s">
        <v>427</v>
      </c>
      <c r="O2074" t="s">
        <v>82</v>
      </c>
      <c r="P2074" t="str">
        <f>"4170064957                    "</f>
        <v xml:space="preserve">4170064957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33.520000000000003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1.9</v>
      </c>
      <c r="BK2074">
        <v>3</v>
      </c>
      <c r="BL2074">
        <v>106.4</v>
      </c>
      <c r="BM2074">
        <v>15.96</v>
      </c>
      <c r="BN2074">
        <v>122.36</v>
      </c>
      <c r="BO2074">
        <v>122.36</v>
      </c>
      <c r="BQ2074" t="s">
        <v>428</v>
      </c>
      <c r="BR2074" t="s">
        <v>97</v>
      </c>
      <c r="BS2074" s="3">
        <v>45951</v>
      </c>
      <c r="BT2074" s="4">
        <v>0.35069444444444442</v>
      </c>
      <c r="BU2074" t="s">
        <v>2771</v>
      </c>
      <c r="BV2074" t="s">
        <v>86</v>
      </c>
      <c r="BY2074">
        <v>9600</v>
      </c>
      <c r="CA2074" t="s">
        <v>785</v>
      </c>
      <c r="CC2074" t="s">
        <v>207</v>
      </c>
      <c r="CD2074">
        <v>7530</v>
      </c>
      <c r="CE2074" t="s">
        <v>191</v>
      </c>
      <c r="CF2074" s="3">
        <v>45952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"080068619675"</f>
        <v>080068619675</v>
      </c>
      <c r="F2075" s="3">
        <v>45950</v>
      </c>
      <c r="G2075">
        <v>202607</v>
      </c>
      <c r="H2075" t="s">
        <v>79</v>
      </c>
      <c r="I2075" t="s">
        <v>80</v>
      </c>
      <c r="J2075" t="s">
        <v>91</v>
      </c>
      <c r="K2075" t="s">
        <v>78</v>
      </c>
      <c r="L2075" t="s">
        <v>121</v>
      </c>
      <c r="M2075" t="s">
        <v>122</v>
      </c>
      <c r="N2075" t="s">
        <v>123</v>
      </c>
      <c r="O2075" t="s">
        <v>82</v>
      </c>
      <c r="P2075" t="str">
        <f>"4170064934                    "</f>
        <v xml:space="preserve">4170064934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78.2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7</v>
      </c>
      <c r="BJ2075">
        <v>3.4</v>
      </c>
      <c r="BK2075">
        <v>7</v>
      </c>
      <c r="BL2075">
        <v>248.2</v>
      </c>
      <c r="BM2075">
        <v>37.229999999999997</v>
      </c>
      <c r="BN2075">
        <v>285.43</v>
      </c>
      <c r="BO2075">
        <v>285.43</v>
      </c>
      <c r="BQ2075" t="s">
        <v>124</v>
      </c>
      <c r="BR2075" t="s">
        <v>97</v>
      </c>
      <c r="BS2075" s="3">
        <v>45951</v>
      </c>
      <c r="BT2075" s="4">
        <v>0.34236111111111112</v>
      </c>
      <c r="BU2075" t="s">
        <v>757</v>
      </c>
      <c r="BV2075" t="s">
        <v>86</v>
      </c>
      <c r="BY2075">
        <v>16965</v>
      </c>
      <c r="CA2075" t="s">
        <v>758</v>
      </c>
      <c r="CC2075" t="s">
        <v>122</v>
      </c>
      <c r="CD2075">
        <v>4051</v>
      </c>
      <c r="CE2075" t="s">
        <v>191</v>
      </c>
      <c r="CF2075" s="3">
        <v>45952</v>
      </c>
      <c r="CI2075">
        <v>1</v>
      </c>
      <c r="CJ2075">
        <v>1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"080068619801"</f>
        <v>080068619801</v>
      </c>
      <c r="F2076" s="3">
        <v>45950</v>
      </c>
      <c r="G2076">
        <v>202607</v>
      </c>
      <c r="H2076" t="s">
        <v>79</v>
      </c>
      <c r="I2076" t="s">
        <v>80</v>
      </c>
      <c r="J2076" t="s">
        <v>91</v>
      </c>
      <c r="K2076" t="s">
        <v>78</v>
      </c>
      <c r="L2076" t="s">
        <v>148</v>
      </c>
      <c r="M2076" t="s">
        <v>149</v>
      </c>
      <c r="N2076" t="s">
        <v>150</v>
      </c>
      <c r="O2076" t="s">
        <v>82</v>
      </c>
      <c r="P2076" t="str">
        <f>"4170064982                    "</f>
        <v xml:space="preserve">4170064982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17.46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0.7</v>
      </c>
      <c r="BK2076">
        <v>2</v>
      </c>
      <c r="BL2076">
        <v>55.42</v>
      </c>
      <c r="BM2076">
        <v>8.31</v>
      </c>
      <c r="BN2076">
        <v>63.73</v>
      </c>
      <c r="BO2076">
        <v>63.73</v>
      </c>
      <c r="BQ2076" t="s">
        <v>151</v>
      </c>
      <c r="BR2076" t="s">
        <v>97</v>
      </c>
      <c r="BS2076" s="3">
        <v>45951</v>
      </c>
      <c r="BT2076" s="4">
        <v>0.34722222222222221</v>
      </c>
      <c r="BU2076" t="s">
        <v>2758</v>
      </c>
      <c r="BV2076" t="s">
        <v>86</v>
      </c>
      <c r="BY2076">
        <v>3306</v>
      </c>
      <c r="CA2076" t="s">
        <v>1463</v>
      </c>
      <c r="CC2076" t="s">
        <v>149</v>
      </c>
      <c r="CD2076">
        <v>2013</v>
      </c>
      <c r="CE2076" t="s">
        <v>191</v>
      </c>
      <c r="CF2076" s="3">
        <v>45951</v>
      </c>
      <c r="CI2076">
        <v>1</v>
      </c>
      <c r="CJ2076">
        <v>1</v>
      </c>
      <c r="CK2076">
        <v>22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"080068620023"</f>
        <v>080068620023</v>
      </c>
      <c r="F2077" s="3">
        <v>45950</v>
      </c>
      <c r="G2077">
        <v>202607</v>
      </c>
      <c r="H2077" t="s">
        <v>79</v>
      </c>
      <c r="I2077" t="s">
        <v>80</v>
      </c>
      <c r="J2077" t="s">
        <v>91</v>
      </c>
      <c r="K2077" t="s">
        <v>78</v>
      </c>
      <c r="L2077" t="s">
        <v>206</v>
      </c>
      <c r="M2077" t="s">
        <v>207</v>
      </c>
      <c r="N2077" t="s">
        <v>656</v>
      </c>
      <c r="O2077" t="s">
        <v>82</v>
      </c>
      <c r="P2077" t="str">
        <f>"4170065000                    "</f>
        <v xml:space="preserve">4170065000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22.36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70.959999999999994</v>
      </c>
      <c r="BM2077">
        <v>10.64</v>
      </c>
      <c r="BN2077">
        <v>81.599999999999994</v>
      </c>
      <c r="BO2077">
        <v>81.599999999999994</v>
      </c>
      <c r="BQ2077" t="s">
        <v>657</v>
      </c>
      <c r="BR2077" t="s">
        <v>97</v>
      </c>
      <c r="BS2077" s="3">
        <v>45951</v>
      </c>
      <c r="BT2077" s="4">
        <v>0.41597222222222224</v>
      </c>
      <c r="BU2077" t="s">
        <v>658</v>
      </c>
      <c r="BV2077" t="s">
        <v>86</v>
      </c>
      <c r="BY2077">
        <v>1200</v>
      </c>
      <c r="CA2077" t="s">
        <v>211</v>
      </c>
      <c r="CC2077" t="s">
        <v>207</v>
      </c>
      <c r="CD2077">
        <v>7441</v>
      </c>
      <c r="CE2077" t="s">
        <v>147</v>
      </c>
      <c r="CF2077" s="3">
        <v>45952</v>
      </c>
      <c r="CI2077">
        <v>1</v>
      </c>
      <c r="CJ2077">
        <v>1</v>
      </c>
      <c r="CK2077">
        <v>21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"080068620053"</f>
        <v>080068620053</v>
      </c>
      <c r="F2078" s="3">
        <v>45950</v>
      </c>
      <c r="G2078">
        <v>202607</v>
      </c>
      <c r="H2078" t="s">
        <v>79</v>
      </c>
      <c r="I2078" t="s">
        <v>80</v>
      </c>
      <c r="J2078" t="s">
        <v>91</v>
      </c>
      <c r="K2078" t="s">
        <v>78</v>
      </c>
      <c r="L2078" t="s">
        <v>108</v>
      </c>
      <c r="M2078" t="s">
        <v>109</v>
      </c>
      <c r="N2078" t="s">
        <v>956</v>
      </c>
      <c r="O2078" t="s">
        <v>82</v>
      </c>
      <c r="P2078" t="str">
        <f>"4170065014                    "</f>
        <v xml:space="preserve">4170065014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22.36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70.959999999999994</v>
      </c>
      <c r="BM2078">
        <v>10.64</v>
      </c>
      <c r="BN2078">
        <v>81.599999999999994</v>
      </c>
      <c r="BO2078">
        <v>81.599999999999994</v>
      </c>
      <c r="BQ2078" t="s">
        <v>957</v>
      </c>
      <c r="BR2078" t="s">
        <v>97</v>
      </c>
      <c r="BS2078" s="3">
        <v>45951</v>
      </c>
      <c r="BT2078" s="4">
        <v>0.36666666666666664</v>
      </c>
      <c r="BU2078" t="s">
        <v>958</v>
      </c>
      <c r="BV2078" t="s">
        <v>86</v>
      </c>
      <c r="BY2078">
        <v>1200</v>
      </c>
      <c r="CA2078" t="s">
        <v>232</v>
      </c>
      <c r="CC2078" t="s">
        <v>109</v>
      </c>
      <c r="CD2078">
        <v>6001</v>
      </c>
      <c r="CE2078" t="s">
        <v>147</v>
      </c>
      <c r="CF2078" s="3">
        <v>45951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"080068620072"</f>
        <v>080068620072</v>
      </c>
      <c r="F2079" s="3">
        <v>45950</v>
      </c>
      <c r="G2079">
        <v>202607</v>
      </c>
      <c r="H2079" t="s">
        <v>79</v>
      </c>
      <c r="I2079" t="s">
        <v>80</v>
      </c>
      <c r="J2079" t="s">
        <v>91</v>
      </c>
      <c r="K2079" t="s">
        <v>78</v>
      </c>
      <c r="L2079" t="s">
        <v>92</v>
      </c>
      <c r="M2079" t="s">
        <v>93</v>
      </c>
      <c r="N2079" t="s">
        <v>601</v>
      </c>
      <c r="O2079" t="s">
        <v>82</v>
      </c>
      <c r="P2079" t="str">
        <f>"4170064975                    "</f>
        <v xml:space="preserve">4170064975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50.28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4.4000000000000004</v>
      </c>
      <c r="BJ2079">
        <v>1.6</v>
      </c>
      <c r="BK2079">
        <v>4.5</v>
      </c>
      <c r="BL2079">
        <v>159.58000000000001</v>
      </c>
      <c r="BM2079">
        <v>23.94</v>
      </c>
      <c r="BN2079">
        <v>183.52</v>
      </c>
      <c r="BO2079">
        <v>183.52</v>
      </c>
      <c r="BQ2079" t="s">
        <v>602</v>
      </c>
      <c r="BR2079" t="s">
        <v>97</v>
      </c>
      <c r="BS2079" s="3">
        <v>45951</v>
      </c>
      <c r="BT2079" s="4">
        <v>0.4861111111111111</v>
      </c>
      <c r="BU2079" t="s">
        <v>852</v>
      </c>
      <c r="BV2079" t="s">
        <v>86</v>
      </c>
      <c r="BY2079">
        <v>8168.16</v>
      </c>
      <c r="CC2079" t="s">
        <v>93</v>
      </c>
      <c r="CD2079">
        <v>3212</v>
      </c>
      <c r="CE2079" t="s">
        <v>1363</v>
      </c>
      <c r="CF2079" s="3">
        <v>45952</v>
      </c>
      <c r="CI2079">
        <v>2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"080068620090"</f>
        <v>080068620090</v>
      </c>
      <c r="F2080" s="3">
        <v>45950</v>
      </c>
      <c r="G2080">
        <v>202607</v>
      </c>
      <c r="H2080" t="s">
        <v>79</v>
      </c>
      <c r="I2080" t="s">
        <v>80</v>
      </c>
      <c r="J2080" t="s">
        <v>91</v>
      </c>
      <c r="K2080" t="s">
        <v>78</v>
      </c>
      <c r="L2080" t="s">
        <v>114</v>
      </c>
      <c r="M2080" t="s">
        <v>115</v>
      </c>
      <c r="N2080" t="s">
        <v>1073</v>
      </c>
      <c r="O2080" t="s">
        <v>82</v>
      </c>
      <c r="P2080" t="str">
        <f>"4170064886                    "</f>
        <v xml:space="preserve">4170064886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22.36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70.959999999999994</v>
      </c>
      <c r="BM2080">
        <v>10.64</v>
      </c>
      <c r="BN2080">
        <v>81.599999999999994</v>
      </c>
      <c r="BO2080">
        <v>81.599999999999994</v>
      </c>
      <c r="BQ2080" t="s">
        <v>1074</v>
      </c>
      <c r="BR2080" t="s">
        <v>97</v>
      </c>
      <c r="BS2080" s="3">
        <v>45951</v>
      </c>
      <c r="BT2080" s="4">
        <v>0.39791666666666664</v>
      </c>
      <c r="BU2080" t="s">
        <v>2772</v>
      </c>
      <c r="BV2080" t="s">
        <v>86</v>
      </c>
      <c r="BY2080">
        <v>1200</v>
      </c>
      <c r="CA2080" t="s">
        <v>119</v>
      </c>
      <c r="CC2080" t="s">
        <v>115</v>
      </c>
      <c r="CD2080">
        <v>5201</v>
      </c>
      <c r="CE2080" t="s">
        <v>147</v>
      </c>
      <c r="CF2080" s="3">
        <v>45951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"080068620120"</f>
        <v>080068620120</v>
      </c>
      <c r="F2081" s="3">
        <v>45950</v>
      </c>
      <c r="G2081">
        <v>202607</v>
      </c>
      <c r="H2081" t="s">
        <v>79</v>
      </c>
      <c r="I2081" t="s">
        <v>80</v>
      </c>
      <c r="J2081" t="s">
        <v>91</v>
      </c>
      <c r="K2081" t="s">
        <v>78</v>
      </c>
      <c r="L2081" t="s">
        <v>350</v>
      </c>
      <c r="M2081" t="s">
        <v>351</v>
      </c>
      <c r="N2081" t="s">
        <v>2773</v>
      </c>
      <c r="O2081" t="s">
        <v>82</v>
      </c>
      <c r="P2081" t="str">
        <f>"4170064828                    "</f>
        <v xml:space="preserve">4170064828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43.31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0.7</v>
      </c>
      <c r="BK2081">
        <v>1</v>
      </c>
      <c r="BL2081">
        <v>137.47</v>
      </c>
      <c r="BM2081">
        <v>20.62</v>
      </c>
      <c r="BN2081">
        <v>158.09</v>
      </c>
      <c r="BO2081">
        <v>158.09</v>
      </c>
      <c r="BQ2081" t="s">
        <v>2774</v>
      </c>
      <c r="BR2081" t="s">
        <v>97</v>
      </c>
      <c r="BS2081" s="3">
        <v>45958</v>
      </c>
      <c r="BT2081" s="4">
        <v>0.43194444444444446</v>
      </c>
      <c r="BU2081" t="s">
        <v>1221</v>
      </c>
      <c r="BV2081" t="s">
        <v>90</v>
      </c>
      <c r="BW2081" t="s">
        <v>188</v>
      </c>
      <c r="BX2081" t="s">
        <v>732</v>
      </c>
      <c r="BY2081">
        <v>3306</v>
      </c>
      <c r="CC2081" t="s">
        <v>351</v>
      </c>
      <c r="CD2081" s="5" t="s">
        <v>2775</v>
      </c>
      <c r="CE2081" t="s">
        <v>191</v>
      </c>
      <c r="CF2081" s="3">
        <v>45959</v>
      </c>
      <c r="CI2081">
        <v>1</v>
      </c>
      <c r="CJ2081">
        <v>6</v>
      </c>
      <c r="CK2081">
        <v>23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"080068620170"</f>
        <v>080068620170</v>
      </c>
      <c r="F2082" s="3">
        <v>45950</v>
      </c>
      <c r="G2082">
        <v>202607</v>
      </c>
      <c r="H2082" t="s">
        <v>79</v>
      </c>
      <c r="I2082" t="s">
        <v>80</v>
      </c>
      <c r="J2082" t="s">
        <v>91</v>
      </c>
      <c r="K2082" t="s">
        <v>78</v>
      </c>
      <c r="L2082" t="s">
        <v>218</v>
      </c>
      <c r="M2082" t="s">
        <v>219</v>
      </c>
      <c r="N2082" t="s">
        <v>220</v>
      </c>
      <c r="O2082" t="s">
        <v>82</v>
      </c>
      <c r="P2082" t="str">
        <f>"4170064893                    "</f>
        <v xml:space="preserve">4170064893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17.46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1.2</v>
      </c>
      <c r="BJ2082">
        <v>0.8</v>
      </c>
      <c r="BK2082">
        <v>2</v>
      </c>
      <c r="BL2082">
        <v>55.42</v>
      </c>
      <c r="BM2082">
        <v>8.31</v>
      </c>
      <c r="BN2082">
        <v>63.73</v>
      </c>
      <c r="BO2082">
        <v>63.73</v>
      </c>
      <c r="BQ2082" t="s">
        <v>221</v>
      </c>
      <c r="BR2082" t="s">
        <v>97</v>
      </c>
      <c r="BS2082" s="3">
        <v>45951</v>
      </c>
      <c r="BT2082" s="4">
        <v>0.37291666666666667</v>
      </c>
      <c r="BU2082" t="s">
        <v>2776</v>
      </c>
      <c r="BV2082" t="s">
        <v>86</v>
      </c>
      <c r="BY2082">
        <v>3974.4</v>
      </c>
      <c r="CA2082" t="s">
        <v>720</v>
      </c>
      <c r="CC2082" t="s">
        <v>219</v>
      </c>
      <c r="CD2082">
        <v>1559</v>
      </c>
      <c r="CE2082" t="s">
        <v>191</v>
      </c>
      <c r="CF2082" s="3">
        <v>45951</v>
      </c>
      <c r="CI2082">
        <v>1</v>
      </c>
      <c r="CJ2082">
        <v>1</v>
      </c>
      <c r="CK2082">
        <v>22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"080068620331"</f>
        <v>080068620331</v>
      </c>
      <c r="F2083" s="3">
        <v>45950</v>
      </c>
      <c r="G2083">
        <v>202607</v>
      </c>
      <c r="H2083" t="s">
        <v>79</v>
      </c>
      <c r="I2083" t="s">
        <v>80</v>
      </c>
      <c r="J2083" t="s">
        <v>91</v>
      </c>
      <c r="K2083" t="s">
        <v>78</v>
      </c>
      <c r="L2083" t="s">
        <v>350</v>
      </c>
      <c r="M2083" t="s">
        <v>351</v>
      </c>
      <c r="N2083" t="s">
        <v>2636</v>
      </c>
      <c r="O2083" t="s">
        <v>82</v>
      </c>
      <c r="P2083" t="str">
        <f>"4170064945                    "</f>
        <v xml:space="preserve">4170064945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62.87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2.6</v>
      </c>
      <c r="BJ2083">
        <v>1.7</v>
      </c>
      <c r="BK2083">
        <v>3</v>
      </c>
      <c r="BL2083">
        <v>199.55</v>
      </c>
      <c r="BM2083">
        <v>29.93</v>
      </c>
      <c r="BN2083">
        <v>229.48</v>
      </c>
      <c r="BO2083">
        <v>229.48</v>
      </c>
      <c r="BQ2083" t="s">
        <v>2637</v>
      </c>
      <c r="BR2083" t="s">
        <v>97</v>
      </c>
      <c r="BS2083" s="3">
        <v>45951</v>
      </c>
      <c r="BT2083" s="4">
        <v>0.43263888888888891</v>
      </c>
      <c r="BU2083" t="s">
        <v>2777</v>
      </c>
      <c r="BV2083" t="s">
        <v>86</v>
      </c>
      <c r="BY2083">
        <v>8332.5</v>
      </c>
      <c r="CA2083" t="s">
        <v>2097</v>
      </c>
      <c r="CC2083" t="s">
        <v>351</v>
      </c>
      <c r="CD2083" s="5" t="s">
        <v>356</v>
      </c>
      <c r="CE2083" t="s">
        <v>191</v>
      </c>
      <c r="CF2083" s="3">
        <v>45952</v>
      </c>
      <c r="CI2083">
        <v>1</v>
      </c>
      <c r="CJ2083">
        <v>1</v>
      </c>
      <c r="CK2083">
        <v>23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"080068620392"</f>
        <v>080068620392</v>
      </c>
      <c r="F2084" s="3">
        <v>45950</v>
      </c>
      <c r="G2084">
        <v>202607</v>
      </c>
      <c r="H2084" t="s">
        <v>79</v>
      </c>
      <c r="I2084" t="s">
        <v>80</v>
      </c>
      <c r="J2084" t="s">
        <v>91</v>
      </c>
      <c r="K2084" t="s">
        <v>78</v>
      </c>
      <c r="L2084" t="s">
        <v>108</v>
      </c>
      <c r="M2084" t="s">
        <v>109</v>
      </c>
      <c r="N2084" t="s">
        <v>291</v>
      </c>
      <c r="O2084" t="s">
        <v>82</v>
      </c>
      <c r="P2084" t="str">
        <f>"4170064958                    "</f>
        <v xml:space="preserve">4170064958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22.36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1.8</v>
      </c>
      <c r="BK2084">
        <v>2</v>
      </c>
      <c r="BL2084">
        <v>70.959999999999994</v>
      </c>
      <c r="BM2084">
        <v>10.64</v>
      </c>
      <c r="BN2084">
        <v>81.599999999999994</v>
      </c>
      <c r="BO2084">
        <v>81.599999999999994</v>
      </c>
      <c r="BQ2084" t="s">
        <v>292</v>
      </c>
      <c r="BR2084" t="s">
        <v>97</v>
      </c>
      <c r="BS2084" s="3">
        <v>45951</v>
      </c>
      <c r="BT2084" s="4">
        <v>0.35</v>
      </c>
      <c r="BU2084" t="s">
        <v>2778</v>
      </c>
      <c r="BV2084" t="s">
        <v>86</v>
      </c>
      <c r="BY2084">
        <v>8816</v>
      </c>
      <c r="CA2084" t="s">
        <v>294</v>
      </c>
      <c r="CC2084" t="s">
        <v>109</v>
      </c>
      <c r="CD2084">
        <v>6001</v>
      </c>
      <c r="CE2084" t="s">
        <v>191</v>
      </c>
      <c r="CF2084" s="3">
        <v>45951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"080068620454"</f>
        <v>080068620454</v>
      </c>
      <c r="F2085" s="3">
        <v>45950</v>
      </c>
      <c r="G2085">
        <v>202607</v>
      </c>
      <c r="H2085" t="s">
        <v>79</v>
      </c>
      <c r="I2085" t="s">
        <v>80</v>
      </c>
      <c r="J2085" t="s">
        <v>91</v>
      </c>
      <c r="K2085" t="s">
        <v>78</v>
      </c>
      <c r="L2085" t="s">
        <v>108</v>
      </c>
      <c r="M2085" t="s">
        <v>109</v>
      </c>
      <c r="N2085" t="s">
        <v>256</v>
      </c>
      <c r="O2085" t="s">
        <v>82</v>
      </c>
      <c r="P2085" t="str">
        <f>"4170064984                    "</f>
        <v xml:space="preserve">4170064984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100.54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9</v>
      </c>
      <c r="BJ2085">
        <v>8.9</v>
      </c>
      <c r="BK2085">
        <v>9</v>
      </c>
      <c r="BL2085">
        <v>319.10000000000002</v>
      </c>
      <c r="BM2085">
        <v>47.87</v>
      </c>
      <c r="BN2085">
        <v>366.97</v>
      </c>
      <c r="BO2085">
        <v>366.97</v>
      </c>
      <c r="BQ2085" t="s">
        <v>257</v>
      </c>
      <c r="BR2085" t="s">
        <v>97</v>
      </c>
      <c r="BS2085" s="3">
        <v>45951</v>
      </c>
      <c r="BT2085" s="4">
        <v>0.35</v>
      </c>
      <c r="BU2085" t="s">
        <v>1168</v>
      </c>
      <c r="BV2085" t="s">
        <v>86</v>
      </c>
      <c r="BY2085">
        <v>44640</v>
      </c>
      <c r="CA2085" t="s">
        <v>142</v>
      </c>
      <c r="CC2085" t="s">
        <v>109</v>
      </c>
      <c r="CD2085">
        <v>6001</v>
      </c>
      <c r="CE2085" t="s">
        <v>191</v>
      </c>
      <c r="CF2085" s="3">
        <v>45951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"080068620588"</f>
        <v>080068620588</v>
      </c>
      <c r="F2086" s="3">
        <v>45950</v>
      </c>
      <c r="G2086">
        <v>202607</v>
      </c>
      <c r="H2086" t="s">
        <v>79</v>
      </c>
      <c r="I2086" t="s">
        <v>80</v>
      </c>
      <c r="J2086" t="s">
        <v>91</v>
      </c>
      <c r="K2086" t="s">
        <v>78</v>
      </c>
      <c r="L2086" t="s">
        <v>223</v>
      </c>
      <c r="M2086" t="s">
        <v>224</v>
      </c>
      <c r="N2086" t="s">
        <v>1592</v>
      </c>
      <c r="O2086" t="s">
        <v>82</v>
      </c>
      <c r="P2086" t="str">
        <f>"4170064976                    "</f>
        <v xml:space="preserve">4170064976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17.46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0.2</v>
      </c>
      <c r="BJ2086">
        <v>0.6</v>
      </c>
      <c r="BK2086">
        <v>1</v>
      </c>
      <c r="BL2086">
        <v>55.42</v>
      </c>
      <c r="BM2086">
        <v>8.31</v>
      </c>
      <c r="BN2086">
        <v>63.73</v>
      </c>
      <c r="BO2086">
        <v>63.73</v>
      </c>
      <c r="BQ2086" t="s">
        <v>1593</v>
      </c>
      <c r="BR2086" t="s">
        <v>97</v>
      </c>
      <c r="BS2086" s="3">
        <v>45951</v>
      </c>
      <c r="BT2086" s="4">
        <v>0.4236111111111111</v>
      </c>
      <c r="BU2086" t="s">
        <v>1594</v>
      </c>
      <c r="BV2086" t="s">
        <v>86</v>
      </c>
      <c r="BY2086">
        <v>2757.3</v>
      </c>
      <c r="CA2086" t="s">
        <v>1595</v>
      </c>
      <c r="CC2086" t="s">
        <v>224</v>
      </c>
      <c r="CD2086">
        <v>1459</v>
      </c>
      <c r="CE2086" t="s">
        <v>147</v>
      </c>
      <c r="CF2086" s="3">
        <v>45951</v>
      </c>
      <c r="CI2086">
        <v>1</v>
      </c>
      <c r="CJ2086">
        <v>1</v>
      </c>
      <c r="CK2086">
        <v>22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"080068620594"</f>
        <v>080068620594</v>
      </c>
      <c r="F2087" s="3">
        <v>45950</v>
      </c>
      <c r="G2087">
        <v>202607</v>
      </c>
      <c r="H2087" t="s">
        <v>79</v>
      </c>
      <c r="I2087" t="s">
        <v>80</v>
      </c>
      <c r="J2087" t="s">
        <v>91</v>
      </c>
      <c r="K2087" t="s">
        <v>78</v>
      </c>
      <c r="L2087" t="s">
        <v>121</v>
      </c>
      <c r="M2087" t="s">
        <v>122</v>
      </c>
      <c r="N2087" t="s">
        <v>154</v>
      </c>
      <c r="O2087" t="s">
        <v>82</v>
      </c>
      <c r="P2087" t="str">
        <f>"4170065050                    "</f>
        <v xml:space="preserve">4170065050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39.11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2</v>
      </c>
      <c r="BJ2087">
        <v>3.4</v>
      </c>
      <c r="BK2087">
        <v>3.5</v>
      </c>
      <c r="BL2087">
        <v>124.13</v>
      </c>
      <c r="BM2087">
        <v>18.62</v>
      </c>
      <c r="BN2087">
        <v>142.75</v>
      </c>
      <c r="BO2087">
        <v>142.75</v>
      </c>
      <c r="BQ2087" t="s">
        <v>155</v>
      </c>
      <c r="BR2087" t="s">
        <v>97</v>
      </c>
      <c r="BS2087" s="3">
        <v>45951</v>
      </c>
      <c r="BT2087" s="4">
        <v>0.49583333333333335</v>
      </c>
      <c r="BU2087" t="s">
        <v>1271</v>
      </c>
      <c r="BV2087" t="s">
        <v>90</v>
      </c>
      <c r="BW2087" t="s">
        <v>136</v>
      </c>
      <c r="BX2087" t="s">
        <v>1222</v>
      </c>
      <c r="BY2087">
        <v>16965</v>
      </c>
      <c r="CA2087" t="s">
        <v>157</v>
      </c>
      <c r="CC2087" t="s">
        <v>122</v>
      </c>
      <c r="CD2087">
        <v>4052</v>
      </c>
      <c r="CE2087" t="s">
        <v>191</v>
      </c>
      <c r="CF2087" s="3">
        <v>45951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"080068620650"</f>
        <v>080068620650</v>
      </c>
      <c r="F2088" s="3">
        <v>45950</v>
      </c>
      <c r="G2088">
        <v>202607</v>
      </c>
      <c r="H2088" t="s">
        <v>79</v>
      </c>
      <c r="I2088" t="s">
        <v>80</v>
      </c>
      <c r="J2088" t="s">
        <v>91</v>
      </c>
      <c r="K2088" t="s">
        <v>78</v>
      </c>
      <c r="L2088" t="s">
        <v>206</v>
      </c>
      <c r="M2088" t="s">
        <v>207</v>
      </c>
      <c r="N2088" t="s">
        <v>698</v>
      </c>
      <c r="O2088" t="s">
        <v>82</v>
      </c>
      <c r="P2088" t="str">
        <f>"4170064965                    "</f>
        <v xml:space="preserve">4170064965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22.36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70.959999999999994</v>
      </c>
      <c r="BM2088">
        <v>10.64</v>
      </c>
      <c r="BN2088">
        <v>81.599999999999994</v>
      </c>
      <c r="BO2088">
        <v>81.599999999999994</v>
      </c>
      <c r="BQ2088" t="s">
        <v>699</v>
      </c>
      <c r="BR2088" t="s">
        <v>97</v>
      </c>
      <c r="BS2088" s="3">
        <v>45951</v>
      </c>
      <c r="BT2088" s="4">
        <v>0.4284722222222222</v>
      </c>
      <c r="BU2088" t="s">
        <v>2779</v>
      </c>
      <c r="BV2088" t="s">
        <v>86</v>
      </c>
      <c r="BY2088">
        <v>1200</v>
      </c>
      <c r="CA2088" t="s">
        <v>2780</v>
      </c>
      <c r="CC2088" t="s">
        <v>207</v>
      </c>
      <c r="CD2088">
        <v>7800</v>
      </c>
      <c r="CE2088" t="s">
        <v>147</v>
      </c>
      <c r="CF2088" s="3">
        <v>45952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"080068620655"</f>
        <v>080068620655</v>
      </c>
      <c r="F2089" s="3">
        <v>45950</v>
      </c>
      <c r="G2089">
        <v>202607</v>
      </c>
      <c r="H2089" t="s">
        <v>79</v>
      </c>
      <c r="I2089" t="s">
        <v>80</v>
      </c>
      <c r="J2089" t="s">
        <v>91</v>
      </c>
      <c r="K2089" t="s">
        <v>78</v>
      </c>
      <c r="L2089" t="s">
        <v>121</v>
      </c>
      <c r="M2089" t="s">
        <v>122</v>
      </c>
      <c r="N2089" t="s">
        <v>159</v>
      </c>
      <c r="O2089" t="s">
        <v>82</v>
      </c>
      <c r="P2089" t="str">
        <f>"4170065060                    "</f>
        <v xml:space="preserve">4170065060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33.520000000000003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3</v>
      </c>
      <c r="BJ2089">
        <v>1.9</v>
      </c>
      <c r="BK2089">
        <v>3</v>
      </c>
      <c r="BL2089">
        <v>106.4</v>
      </c>
      <c r="BM2089">
        <v>15.96</v>
      </c>
      <c r="BN2089">
        <v>122.36</v>
      </c>
      <c r="BO2089">
        <v>122.36</v>
      </c>
      <c r="BQ2089" t="s">
        <v>160</v>
      </c>
      <c r="BR2089" t="s">
        <v>97</v>
      </c>
      <c r="BS2089" s="3">
        <v>45951</v>
      </c>
      <c r="BT2089" s="4">
        <v>0.46250000000000002</v>
      </c>
      <c r="BU2089" t="s">
        <v>2781</v>
      </c>
      <c r="BV2089" t="s">
        <v>90</v>
      </c>
      <c r="BW2089" t="s">
        <v>136</v>
      </c>
      <c r="BX2089" t="s">
        <v>2248</v>
      </c>
      <c r="BY2089">
        <v>9600</v>
      </c>
      <c r="CA2089" t="s">
        <v>742</v>
      </c>
      <c r="CC2089" t="s">
        <v>122</v>
      </c>
      <c r="CD2089">
        <v>4000</v>
      </c>
      <c r="CE2089" t="s">
        <v>191</v>
      </c>
      <c r="CF2089" s="3">
        <v>45951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"080068620705"</f>
        <v>080068620705</v>
      </c>
      <c r="F2090" s="3">
        <v>45950</v>
      </c>
      <c r="G2090">
        <v>202607</v>
      </c>
      <c r="H2090" t="s">
        <v>79</v>
      </c>
      <c r="I2090" t="s">
        <v>80</v>
      </c>
      <c r="J2090" t="s">
        <v>91</v>
      </c>
      <c r="K2090" t="s">
        <v>78</v>
      </c>
      <c r="L2090" t="s">
        <v>108</v>
      </c>
      <c r="M2090" t="s">
        <v>109</v>
      </c>
      <c r="N2090" t="s">
        <v>938</v>
      </c>
      <c r="O2090" t="s">
        <v>82</v>
      </c>
      <c r="P2090" t="str">
        <f>"4170065010                    "</f>
        <v xml:space="preserve">4170065010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22.36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1.8</v>
      </c>
      <c r="BK2090">
        <v>2</v>
      </c>
      <c r="BL2090">
        <v>70.959999999999994</v>
      </c>
      <c r="BM2090">
        <v>10.64</v>
      </c>
      <c r="BN2090">
        <v>81.599999999999994</v>
      </c>
      <c r="BO2090">
        <v>81.599999999999994</v>
      </c>
      <c r="BQ2090" t="s">
        <v>939</v>
      </c>
      <c r="BR2090" t="s">
        <v>97</v>
      </c>
      <c r="BS2090" s="3">
        <v>45951</v>
      </c>
      <c r="BT2090" s="4">
        <v>0.41875000000000001</v>
      </c>
      <c r="BU2090" t="s">
        <v>940</v>
      </c>
      <c r="BV2090" t="s">
        <v>86</v>
      </c>
      <c r="BY2090">
        <v>8816</v>
      </c>
      <c r="CA2090" t="s">
        <v>232</v>
      </c>
      <c r="CC2090" t="s">
        <v>109</v>
      </c>
      <c r="CD2090">
        <v>6056</v>
      </c>
      <c r="CE2090" t="s">
        <v>191</v>
      </c>
      <c r="CF2090" s="3">
        <v>45951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"080068620753"</f>
        <v>080068620753</v>
      </c>
      <c r="F2091" s="3">
        <v>45950</v>
      </c>
      <c r="G2091">
        <v>202607</v>
      </c>
      <c r="H2091" t="s">
        <v>79</v>
      </c>
      <c r="I2091" t="s">
        <v>80</v>
      </c>
      <c r="J2091" t="s">
        <v>91</v>
      </c>
      <c r="K2091" t="s">
        <v>78</v>
      </c>
      <c r="L2091" t="s">
        <v>92</v>
      </c>
      <c r="M2091" t="s">
        <v>93</v>
      </c>
      <c r="N2091" t="s">
        <v>601</v>
      </c>
      <c r="O2091" t="s">
        <v>82</v>
      </c>
      <c r="P2091" t="str">
        <f>"4170064972                    "</f>
        <v xml:space="preserve">4170064972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22.36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</v>
      </c>
      <c r="BJ2091">
        <v>1.4</v>
      </c>
      <c r="BK2091">
        <v>2</v>
      </c>
      <c r="BL2091">
        <v>70.959999999999994</v>
      </c>
      <c r="BM2091">
        <v>10.64</v>
      </c>
      <c r="BN2091">
        <v>81.599999999999994</v>
      </c>
      <c r="BO2091">
        <v>81.599999999999994</v>
      </c>
      <c r="BQ2091" t="s">
        <v>602</v>
      </c>
      <c r="BR2091" t="s">
        <v>97</v>
      </c>
      <c r="BS2091" s="3">
        <v>45951</v>
      </c>
      <c r="BT2091" s="4">
        <v>0.4861111111111111</v>
      </c>
      <c r="BU2091" t="s">
        <v>852</v>
      </c>
      <c r="BV2091" t="s">
        <v>86</v>
      </c>
      <c r="BY2091">
        <v>7000</v>
      </c>
      <c r="CC2091" t="s">
        <v>93</v>
      </c>
      <c r="CD2091">
        <v>3212</v>
      </c>
      <c r="CE2091" t="s">
        <v>191</v>
      </c>
      <c r="CF2091" s="3">
        <v>45952</v>
      </c>
      <c r="CI2091">
        <v>2</v>
      </c>
      <c r="CJ2091">
        <v>1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"080068620834"</f>
        <v>080068620834</v>
      </c>
      <c r="F2092" s="3">
        <v>45950</v>
      </c>
      <c r="G2092">
        <v>202607</v>
      </c>
      <c r="H2092" t="s">
        <v>79</v>
      </c>
      <c r="I2092" t="s">
        <v>80</v>
      </c>
      <c r="J2092" t="s">
        <v>91</v>
      </c>
      <c r="K2092" t="s">
        <v>78</v>
      </c>
      <c r="L2092" t="s">
        <v>121</v>
      </c>
      <c r="M2092" t="s">
        <v>122</v>
      </c>
      <c r="N2092" t="s">
        <v>318</v>
      </c>
      <c r="O2092" t="s">
        <v>82</v>
      </c>
      <c r="P2092" t="str">
        <f>"4170065099                    "</f>
        <v xml:space="preserve">4170065099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22.36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70.959999999999994</v>
      </c>
      <c r="BM2092">
        <v>10.64</v>
      </c>
      <c r="BN2092">
        <v>81.599999999999994</v>
      </c>
      <c r="BO2092">
        <v>81.599999999999994</v>
      </c>
      <c r="BQ2092" t="s">
        <v>319</v>
      </c>
      <c r="BR2092" t="s">
        <v>97</v>
      </c>
      <c r="BS2092" s="3">
        <v>45951</v>
      </c>
      <c r="BT2092" s="4">
        <v>0.36041666666666666</v>
      </c>
      <c r="BU2092" t="s">
        <v>2782</v>
      </c>
      <c r="BV2092" t="s">
        <v>86</v>
      </c>
      <c r="BY2092">
        <v>1200</v>
      </c>
      <c r="CA2092" t="s">
        <v>2451</v>
      </c>
      <c r="CC2092" t="s">
        <v>122</v>
      </c>
      <c r="CD2092">
        <v>4001</v>
      </c>
      <c r="CE2092" t="s">
        <v>147</v>
      </c>
      <c r="CF2092" s="3">
        <v>45951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"080068620858"</f>
        <v>080068620858</v>
      </c>
      <c r="F2093" s="3">
        <v>45950</v>
      </c>
      <c r="G2093">
        <v>202607</v>
      </c>
      <c r="H2093" t="s">
        <v>79</v>
      </c>
      <c r="I2093" t="s">
        <v>80</v>
      </c>
      <c r="J2093" t="s">
        <v>91</v>
      </c>
      <c r="K2093" t="s">
        <v>78</v>
      </c>
      <c r="L2093" t="s">
        <v>108</v>
      </c>
      <c r="M2093" t="s">
        <v>109</v>
      </c>
      <c r="N2093" t="s">
        <v>515</v>
      </c>
      <c r="O2093" t="s">
        <v>82</v>
      </c>
      <c r="P2093" t="str">
        <f>"4170064938                    "</f>
        <v xml:space="preserve">4170064938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22.36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70.959999999999994</v>
      </c>
      <c r="BM2093">
        <v>10.64</v>
      </c>
      <c r="BN2093">
        <v>81.599999999999994</v>
      </c>
      <c r="BO2093">
        <v>81.599999999999994</v>
      </c>
      <c r="BQ2093" t="s">
        <v>516</v>
      </c>
      <c r="BR2093" t="s">
        <v>97</v>
      </c>
      <c r="BS2093" s="3">
        <v>45951</v>
      </c>
      <c r="BT2093" s="4">
        <v>0.43541666666666667</v>
      </c>
      <c r="BU2093" t="s">
        <v>1350</v>
      </c>
      <c r="BV2093" t="s">
        <v>86</v>
      </c>
      <c r="BY2093">
        <v>1200</v>
      </c>
      <c r="CA2093" t="s">
        <v>113</v>
      </c>
      <c r="CC2093" t="s">
        <v>109</v>
      </c>
      <c r="CD2093">
        <v>6001</v>
      </c>
      <c r="CE2093" t="s">
        <v>147</v>
      </c>
      <c r="CF2093" s="3">
        <v>45951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"080068620896"</f>
        <v>080068620896</v>
      </c>
      <c r="F2094" s="3">
        <v>45950</v>
      </c>
      <c r="G2094">
        <v>202607</v>
      </c>
      <c r="H2094" t="s">
        <v>79</v>
      </c>
      <c r="I2094" t="s">
        <v>80</v>
      </c>
      <c r="J2094" t="s">
        <v>91</v>
      </c>
      <c r="K2094" t="s">
        <v>78</v>
      </c>
      <c r="L2094" t="s">
        <v>206</v>
      </c>
      <c r="M2094" t="s">
        <v>207</v>
      </c>
      <c r="N2094" t="s">
        <v>656</v>
      </c>
      <c r="O2094" t="s">
        <v>82</v>
      </c>
      <c r="P2094" t="str">
        <f>"4170064968                    "</f>
        <v xml:space="preserve">4170064968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22.36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70.959999999999994</v>
      </c>
      <c r="BM2094">
        <v>10.64</v>
      </c>
      <c r="BN2094">
        <v>81.599999999999994</v>
      </c>
      <c r="BO2094">
        <v>81.599999999999994</v>
      </c>
      <c r="BQ2094" t="s">
        <v>657</v>
      </c>
      <c r="BR2094" t="s">
        <v>97</v>
      </c>
      <c r="BS2094" s="3">
        <v>45951</v>
      </c>
      <c r="BT2094" s="4">
        <v>0.41597222222222224</v>
      </c>
      <c r="BU2094" t="s">
        <v>658</v>
      </c>
      <c r="BV2094" t="s">
        <v>86</v>
      </c>
      <c r="BY2094">
        <v>1200</v>
      </c>
      <c r="CA2094" t="s">
        <v>211</v>
      </c>
      <c r="CC2094" t="s">
        <v>207</v>
      </c>
      <c r="CD2094">
        <v>7441</v>
      </c>
      <c r="CE2094" t="s">
        <v>147</v>
      </c>
      <c r="CF2094" s="3">
        <v>45952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"080068620930"</f>
        <v>080068620930</v>
      </c>
      <c r="F2095" s="3">
        <v>45950</v>
      </c>
      <c r="G2095">
        <v>202607</v>
      </c>
      <c r="H2095" t="s">
        <v>79</v>
      </c>
      <c r="I2095" t="s">
        <v>80</v>
      </c>
      <c r="J2095" t="s">
        <v>91</v>
      </c>
      <c r="K2095" t="s">
        <v>78</v>
      </c>
      <c r="L2095" t="s">
        <v>168</v>
      </c>
      <c r="M2095" t="s">
        <v>169</v>
      </c>
      <c r="N2095" t="s">
        <v>2783</v>
      </c>
      <c r="O2095" t="s">
        <v>82</v>
      </c>
      <c r="P2095" t="str">
        <f>"4170065027                    "</f>
        <v xml:space="preserve">4170065027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22.36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0.2</v>
      </c>
      <c r="BJ2095">
        <v>1</v>
      </c>
      <c r="BK2095">
        <v>1</v>
      </c>
      <c r="BL2095">
        <v>70.959999999999994</v>
      </c>
      <c r="BM2095">
        <v>10.64</v>
      </c>
      <c r="BN2095">
        <v>81.599999999999994</v>
      </c>
      <c r="BO2095">
        <v>81.599999999999994</v>
      </c>
      <c r="BQ2095" t="s">
        <v>2784</v>
      </c>
      <c r="BR2095" t="s">
        <v>97</v>
      </c>
      <c r="BS2095" s="3">
        <v>45951</v>
      </c>
      <c r="BT2095" s="4">
        <v>0.37291666666666667</v>
      </c>
      <c r="BU2095" t="s">
        <v>2785</v>
      </c>
      <c r="BV2095" t="s">
        <v>86</v>
      </c>
      <c r="BY2095">
        <v>4761.3999999999996</v>
      </c>
      <c r="CA2095">
        <v>8201095431082</v>
      </c>
      <c r="CC2095" t="s">
        <v>169</v>
      </c>
      <c r="CD2095" s="5" t="s">
        <v>914</v>
      </c>
      <c r="CE2095" t="s">
        <v>147</v>
      </c>
      <c r="CF2095" s="3">
        <v>45951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"080068621030"</f>
        <v>080068621030</v>
      </c>
      <c r="F2096" s="3">
        <v>45950</v>
      </c>
      <c r="G2096">
        <v>202607</v>
      </c>
      <c r="H2096" t="s">
        <v>79</v>
      </c>
      <c r="I2096" t="s">
        <v>80</v>
      </c>
      <c r="J2096" t="s">
        <v>91</v>
      </c>
      <c r="K2096" t="s">
        <v>78</v>
      </c>
      <c r="L2096" t="s">
        <v>79</v>
      </c>
      <c r="M2096" t="s">
        <v>80</v>
      </c>
      <c r="N2096" t="s">
        <v>2786</v>
      </c>
      <c r="O2096" t="s">
        <v>226</v>
      </c>
      <c r="P2096" t="str">
        <f>"4170064986                    "</f>
        <v xml:space="preserve">4170064986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17.47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2</v>
      </c>
      <c r="BI2096">
        <v>4.5</v>
      </c>
      <c r="BJ2096">
        <v>4.8</v>
      </c>
      <c r="BK2096">
        <v>5</v>
      </c>
      <c r="BL2096">
        <v>55.44</v>
      </c>
      <c r="BM2096">
        <v>8.32</v>
      </c>
      <c r="BN2096">
        <v>63.76</v>
      </c>
      <c r="BO2096">
        <v>63.76</v>
      </c>
      <c r="BQ2096" t="s">
        <v>2787</v>
      </c>
      <c r="BR2096" t="s">
        <v>97</v>
      </c>
      <c r="BS2096" s="3">
        <v>45951</v>
      </c>
      <c r="BT2096" s="4">
        <v>0.30625000000000002</v>
      </c>
      <c r="BU2096" t="s">
        <v>1536</v>
      </c>
      <c r="BV2096" t="s">
        <v>86</v>
      </c>
      <c r="BY2096">
        <v>23871</v>
      </c>
      <c r="CA2096" t="s">
        <v>88</v>
      </c>
      <c r="CC2096" t="s">
        <v>80</v>
      </c>
      <c r="CD2096">
        <v>1600</v>
      </c>
      <c r="CE2096" t="s">
        <v>107</v>
      </c>
      <c r="CF2096" s="3">
        <v>45951</v>
      </c>
      <c r="CI2096">
        <v>1</v>
      </c>
      <c r="CJ2096">
        <v>1</v>
      </c>
      <c r="CK2096">
        <v>32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"080068621129"</f>
        <v>080068621129</v>
      </c>
      <c r="F2097" s="3">
        <v>45950</v>
      </c>
      <c r="G2097">
        <v>202607</v>
      </c>
      <c r="H2097" t="s">
        <v>79</v>
      </c>
      <c r="I2097" t="s">
        <v>80</v>
      </c>
      <c r="J2097" t="s">
        <v>91</v>
      </c>
      <c r="K2097" t="s">
        <v>78</v>
      </c>
      <c r="L2097" t="s">
        <v>233</v>
      </c>
      <c r="M2097" t="s">
        <v>234</v>
      </c>
      <c r="N2097" t="s">
        <v>1066</v>
      </c>
      <c r="O2097" t="s">
        <v>82</v>
      </c>
      <c r="P2097" t="str">
        <f>"4170065056                    "</f>
        <v xml:space="preserve">4170065056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39.11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3.3</v>
      </c>
      <c r="BJ2097">
        <v>1.7</v>
      </c>
      <c r="BK2097">
        <v>3.5</v>
      </c>
      <c r="BL2097">
        <v>124.13</v>
      </c>
      <c r="BM2097">
        <v>18.62</v>
      </c>
      <c r="BN2097">
        <v>142.75</v>
      </c>
      <c r="BO2097">
        <v>142.75</v>
      </c>
      <c r="BQ2097" t="s">
        <v>1067</v>
      </c>
      <c r="BR2097" t="s">
        <v>97</v>
      </c>
      <c r="BS2097" s="3">
        <v>45951</v>
      </c>
      <c r="BT2097" s="4">
        <v>0.37291666666666667</v>
      </c>
      <c r="BU2097" t="s">
        <v>1068</v>
      </c>
      <c r="BV2097" t="s">
        <v>86</v>
      </c>
      <c r="BY2097">
        <v>8337.15</v>
      </c>
      <c r="CA2097">
        <v>7104145194083</v>
      </c>
      <c r="CC2097" t="s">
        <v>234</v>
      </c>
      <c r="CD2097" s="5" t="s">
        <v>238</v>
      </c>
      <c r="CE2097" t="s">
        <v>191</v>
      </c>
      <c r="CF2097" s="3">
        <v>45951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"080068621219"</f>
        <v>080068621219</v>
      </c>
      <c r="F2098" s="3">
        <v>45950</v>
      </c>
      <c r="G2098">
        <v>202607</v>
      </c>
      <c r="H2098" t="s">
        <v>79</v>
      </c>
      <c r="I2098" t="s">
        <v>80</v>
      </c>
      <c r="J2098" t="s">
        <v>91</v>
      </c>
      <c r="K2098" t="s">
        <v>78</v>
      </c>
      <c r="L2098" t="s">
        <v>446</v>
      </c>
      <c r="M2098" t="s">
        <v>447</v>
      </c>
      <c r="N2098" t="s">
        <v>448</v>
      </c>
      <c r="O2098" t="s">
        <v>82</v>
      </c>
      <c r="P2098" t="str">
        <f>"4170064848                    "</f>
        <v xml:space="preserve">4170064848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43.31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1.8</v>
      </c>
      <c r="BK2098">
        <v>2</v>
      </c>
      <c r="BL2098">
        <v>137.47</v>
      </c>
      <c r="BM2098">
        <v>20.62</v>
      </c>
      <c r="BN2098">
        <v>158.09</v>
      </c>
      <c r="BO2098">
        <v>158.09</v>
      </c>
      <c r="BQ2098" t="s">
        <v>449</v>
      </c>
      <c r="BR2098" t="s">
        <v>97</v>
      </c>
      <c r="BS2098" s="3">
        <v>45951</v>
      </c>
      <c r="BT2098" s="4">
        <v>0.44374999999999998</v>
      </c>
      <c r="BU2098" t="s">
        <v>450</v>
      </c>
      <c r="BV2098" t="s">
        <v>86</v>
      </c>
      <c r="BY2098">
        <v>8816</v>
      </c>
      <c r="CA2098" t="s">
        <v>1124</v>
      </c>
      <c r="CC2098" t="s">
        <v>447</v>
      </c>
      <c r="CD2098">
        <v>7130</v>
      </c>
      <c r="CE2098" t="s">
        <v>191</v>
      </c>
      <c r="CF2098" s="3">
        <v>45952</v>
      </c>
      <c r="CI2098">
        <v>1</v>
      </c>
      <c r="CJ2098">
        <v>1</v>
      </c>
      <c r="CK2098">
        <v>23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"080068621313"</f>
        <v>080068621313</v>
      </c>
      <c r="F2099" s="3">
        <v>45950</v>
      </c>
      <c r="G2099">
        <v>202607</v>
      </c>
      <c r="H2099" t="s">
        <v>79</v>
      </c>
      <c r="I2099" t="s">
        <v>80</v>
      </c>
      <c r="J2099" t="s">
        <v>91</v>
      </c>
      <c r="K2099" t="s">
        <v>78</v>
      </c>
      <c r="L2099" t="s">
        <v>92</v>
      </c>
      <c r="M2099" t="s">
        <v>93</v>
      </c>
      <c r="N2099" t="s">
        <v>601</v>
      </c>
      <c r="O2099" t="s">
        <v>82</v>
      </c>
      <c r="P2099" t="str">
        <f>"4170064952                    "</f>
        <v xml:space="preserve">4170064952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44.69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4</v>
      </c>
      <c r="BJ2099">
        <v>0.7</v>
      </c>
      <c r="BK2099">
        <v>4</v>
      </c>
      <c r="BL2099">
        <v>141.85</v>
      </c>
      <c r="BM2099">
        <v>21.28</v>
      </c>
      <c r="BN2099">
        <v>163.13</v>
      </c>
      <c r="BO2099">
        <v>163.13</v>
      </c>
      <c r="BQ2099" t="s">
        <v>602</v>
      </c>
      <c r="BR2099" t="s">
        <v>97</v>
      </c>
      <c r="BS2099" s="3">
        <v>45951</v>
      </c>
      <c r="BT2099" s="4">
        <v>0.4861111111111111</v>
      </c>
      <c r="BU2099" t="s">
        <v>852</v>
      </c>
      <c r="BV2099" t="s">
        <v>86</v>
      </c>
      <c r="BY2099">
        <v>3306</v>
      </c>
      <c r="CC2099" t="s">
        <v>93</v>
      </c>
      <c r="CD2099">
        <v>3212</v>
      </c>
      <c r="CE2099" t="s">
        <v>191</v>
      </c>
      <c r="CF2099" s="3">
        <v>45952</v>
      </c>
      <c r="CI2099">
        <v>2</v>
      </c>
      <c r="CJ2099">
        <v>1</v>
      </c>
      <c r="CK2099">
        <v>21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"080068621393"</f>
        <v>080068621393</v>
      </c>
      <c r="F2100" s="3">
        <v>45950</v>
      </c>
      <c r="G2100">
        <v>202607</v>
      </c>
      <c r="H2100" t="s">
        <v>79</v>
      </c>
      <c r="I2100" t="s">
        <v>80</v>
      </c>
      <c r="J2100" t="s">
        <v>91</v>
      </c>
      <c r="K2100" t="s">
        <v>78</v>
      </c>
      <c r="L2100" t="s">
        <v>102</v>
      </c>
      <c r="M2100" t="s">
        <v>103</v>
      </c>
      <c r="N2100" t="s">
        <v>335</v>
      </c>
      <c r="O2100" t="s">
        <v>82</v>
      </c>
      <c r="P2100" t="str">
        <f>"4170065026                    "</f>
        <v xml:space="preserve">4170065026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17.46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1.1000000000000001</v>
      </c>
      <c r="BK2100">
        <v>2</v>
      </c>
      <c r="BL2100">
        <v>55.42</v>
      </c>
      <c r="BM2100">
        <v>8.31</v>
      </c>
      <c r="BN2100">
        <v>63.73</v>
      </c>
      <c r="BO2100">
        <v>63.73</v>
      </c>
      <c r="BQ2100" t="s">
        <v>475</v>
      </c>
      <c r="BR2100" t="s">
        <v>97</v>
      </c>
      <c r="BS2100" s="3">
        <v>45951</v>
      </c>
      <c r="BT2100" s="4">
        <v>0.38263888888888886</v>
      </c>
      <c r="BU2100" t="s">
        <v>655</v>
      </c>
      <c r="BV2100" t="s">
        <v>86</v>
      </c>
      <c r="BY2100">
        <v>5720</v>
      </c>
      <c r="CA2100" t="s">
        <v>621</v>
      </c>
      <c r="CC2100" t="s">
        <v>103</v>
      </c>
      <c r="CD2100">
        <v>1451</v>
      </c>
      <c r="CE2100" t="s">
        <v>107</v>
      </c>
      <c r="CF2100" s="3">
        <v>45951</v>
      </c>
      <c r="CI2100">
        <v>1</v>
      </c>
      <c r="CJ2100">
        <v>1</v>
      </c>
      <c r="CK2100">
        <v>22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"080068621470"</f>
        <v>080068621470</v>
      </c>
      <c r="F2101" s="3">
        <v>45950</v>
      </c>
      <c r="G2101">
        <v>202607</v>
      </c>
      <c r="H2101" t="s">
        <v>79</v>
      </c>
      <c r="I2101" t="s">
        <v>80</v>
      </c>
      <c r="J2101" t="s">
        <v>91</v>
      </c>
      <c r="K2101" t="s">
        <v>78</v>
      </c>
      <c r="L2101" t="s">
        <v>79</v>
      </c>
      <c r="M2101" t="s">
        <v>80</v>
      </c>
      <c r="N2101" t="s">
        <v>1986</v>
      </c>
      <c r="O2101" t="s">
        <v>82</v>
      </c>
      <c r="P2101" t="str">
        <f>"4170065007                    "</f>
        <v xml:space="preserve">4170065007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17.46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0.2</v>
      </c>
      <c r="BJ2101">
        <v>0.9</v>
      </c>
      <c r="BK2101">
        <v>1</v>
      </c>
      <c r="BL2101">
        <v>55.42</v>
      </c>
      <c r="BM2101">
        <v>8.31</v>
      </c>
      <c r="BN2101">
        <v>63.73</v>
      </c>
      <c r="BO2101">
        <v>63.73</v>
      </c>
      <c r="BQ2101" t="s">
        <v>1987</v>
      </c>
      <c r="BR2101" t="s">
        <v>97</v>
      </c>
      <c r="BS2101" s="3">
        <v>45951</v>
      </c>
      <c r="BT2101" s="4">
        <v>0.43402777777777779</v>
      </c>
      <c r="BU2101" t="s">
        <v>2788</v>
      </c>
      <c r="BV2101" t="s">
        <v>86</v>
      </c>
      <c r="BY2101">
        <v>4250.82</v>
      </c>
      <c r="CA2101" t="s">
        <v>166</v>
      </c>
      <c r="CC2101" t="s">
        <v>80</v>
      </c>
      <c r="CD2101">
        <v>1624</v>
      </c>
      <c r="CE2101" t="s">
        <v>147</v>
      </c>
      <c r="CF2101" s="3">
        <v>45952</v>
      </c>
      <c r="CI2101">
        <v>1</v>
      </c>
      <c r="CJ2101">
        <v>1</v>
      </c>
      <c r="CK2101">
        <v>22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"080068621509"</f>
        <v>080068621509</v>
      </c>
      <c r="F2102" s="3">
        <v>45950</v>
      </c>
      <c r="G2102">
        <v>202607</v>
      </c>
      <c r="H2102" t="s">
        <v>79</v>
      </c>
      <c r="I2102" t="s">
        <v>80</v>
      </c>
      <c r="J2102" t="s">
        <v>91</v>
      </c>
      <c r="K2102" t="s">
        <v>78</v>
      </c>
      <c r="L2102" t="s">
        <v>206</v>
      </c>
      <c r="M2102" t="s">
        <v>207</v>
      </c>
      <c r="N2102" t="s">
        <v>656</v>
      </c>
      <c r="O2102" t="s">
        <v>82</v>
      </c>
      <c r="P2102" t="str">
        <f>"4170065063                    "</f>
        <v xml:space="preserve">4170065063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22.36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70.959999999999994</v>
      </c>
      <c r="BM2102">
        <v>10.64</v>
      </c>
      <c r="BN2102">
        <v>81.599999999999994</v>
      </c>
      <c r="BO2102">
        <v>81.599999999999994</v>
      </c>
      <c r="BQ2102" t="s">
        <v>657</v>
      </c>
      <c r="BR2102" t="s">
        <v>97</v>
      </c>
      <c r="BS2102" s="3">
        <v>45951</v>
      </c>
      <c r="BT2102" s="4">
        <v>0.41597222222222224</v>
      </c>
      <c r="BU2102" t="s">
        <v>658</v>
      </c>
      <c r="BV2102" t="s">
        <v>86</v>
      </c>
      <c r="BY2102">
        <v>1200</v>
      </c>
      <c r="CA2102" t="s">
        <v>211</v>
      </c>
      <c r="CC2102" t="s">
        <v>207</v>
      </c>
      <c r="CD2102">
        <v>7441</v>
      </c>
      <c r="CE2102" t="s">
        <v>147</v>
      </c>
      <c r="CF2102" s="3">
        <v>45952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"R080068561270"</f>
        <v>R080068561270</v>
      </c>
      <c r="F2103" s="3">
        <v>45950</v>
      </c>
      <c r="G2103">
        <v>202607</v>
      </c>
      <c r="H2103" t="s">
        <v>206</v>
      </c>
      <c r="I2103" t="s">
        <v>207</v>
      </c>
      <c r="J2103" t="s">
        <v>2539</v>
      </c>
      <c r="K2103" t="s">
        <v>78</v>
      </c>
      <c r="L2103" t="s">
        <v>79</v>
      </c>
      <c r="M2103" t="s">
        <v>80</v>
      </c>
      <c r="N2103" t="s">
        <v>91</v>
      </c>
      <c r="O2103" t="s">
        <v>82</v>
      </c>
      <c r="P2103" t="str">
        <f>"4170064648                    "</f>
        <v xml:space="preserve">4170064648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27.94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0.8</v>
      </c>
      <c r="BJ2103">
        <v>2.4</v>
      </c>
      <c r="BK2103">
        <v>2.5</v>
      </c>
      <c r="BL2103">
        <v>88.68</v>
      </c>
      <c r="BM2103">
        <v>13.3</v>
      </c>
      <c r="BN2103">
        <v>101.98</v>
      </c>
      <c r="BO2103">
        <v>101.98</v>
      </c>
      <c r="BQ2103" t="s">
        <v>97</v>
      </c>
      <c r="BR2103" t="s">
        <v>2540</v>
      </c>
      <c r="BS2103" s="3">
        <v>45951</v>
      </c>
      <c r="BT2103" s="4">
        <v>0.37361111111111112</v>
      </c>
      <c r="BU2103" t="s">
        <v>85</v>
      </c>
      <c r="BV2103" t="s">
        <v>86</v>
      </c>
      <c r="BY2103">
        <v>11964.48</v>
      </c>
      <c r="CA2103" t="s">
        <v>88</v>
      </c>
      <c r="CC2103" t="s">
        <v>80</v>
      </c>
      <c r="CD2103">
        <v>1601</v>
      </c>
      <c r="CE2103" t="s">
        <v>147</v>
      </c>
      <c r="CF2103" s="3">
        <v>45951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"080068621544"</f>
        <v>080068621544</v>
      </c>
      <c r="F2104" s="3">
        <v>45950</v>
      </c>
      <c r="G2104">
        <v>202607</v>
      </c>
      <c r="H2104" t="s">
        <v>79</v>
      </c>
      <c r="I2104" t="s">
        <v>80</v>
      </c>
      <c r="J2104" t="s">
        <v>91</v>
      </c>
      <c r="K2104" t="s">
        <v>78</v>
      </c>
      <c r="L2104" t="s">
        <v>322</v>
      </c>
      <c r="M2104" t="s">
        <v>322</v>
      </c>
      <c r="N2104" t="s">
        <v>481</v>
      </c>
      <c r="O2104" t="s">
        <v>82</v>
      </c>
      <c r="P2104" t="str">
        <f>"4170064943                    "</f>
        <v xml:space="preserve">4170064943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43.31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137.47</v>
      </c>
      <c r="BM2104">
        <v>20.62</v>
      </c>
      <c r="BN2104">
        <v>158.09</v>
      </c>
      <c r="BO2104">
        <v>158.09</v>
      </c>
      <c r="BQ2104" t="s">
        <v>482</v>
      </c>
      <c r="BR2104" t="s">
        <v>97</v>
      </c>
      <c r="BS2104" s="3">
        <v>45951</v>
      </c>
      <c r="BT2104" s="4">
        <v>0.59444444444444444</v>
      </c>
      <c r="BU2104" t="s">
        <v>1402</v>
      </c>
      <c r="BV2104" t="s">
        <v>90</v>
      </c>
      <c r="BW2104" t="s">
        <v>347</v>
      </c>
      <c r="BX2104" t="s">
        <v>2740</v>
      </c>
      <c r="BY2104">
        <v>1200</v>
      </c>
      <c r="CA2104" t="s">
        <v>1917</v>
      </c>
      <c r="CC2104" t="s">
        <v>322</v>
      </c>
      <c r="CD2104">
        <v>7646</v>
      </c>
      <c r="CE2104" t="s">
        <v>147</v>
      </c>
      <c r="CF2104" s="3">
        <v>45952</v>
      </c>
      <c r="CI2104">
        <v>1</v>
      </c>
      <c r="CJ2104">
        <v>1</v>
      </c>
      <c r="CK2104">
        <v>23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"080068621776"</f>
        <v>080068621776</v>
      </c>
      <c r="F2105" s="3">
        <v>45950</v>
      </c>
      <c r="G2105">
        <v>202607</v>
      </c>
      <c r="H2105" t="s">
        <v>79</v>
      </c>
      <c r="I2105" t="s">
        <v>80</v>
      </c>
      <c r="J2105" t="s">
        <v>91</v>
      </c>
      <c r="K2105" t="s">
        <v>78</v>
      </c>
      <c r="L2105" t="s">
        <v>453</v>
      </c>
      <c r="M2105" t="s">
        <v>454</v>
      </c>
      <c r="N2105" t="s">
        <v>845</v>
      </c>
      <c r="O2105" t="s">
        <v>82</v>
      </c>
      <c r="P2105" t="str">
        <f>"4170064977                    "</f>
        <v xml:space="preserve">4170064977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22.36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70.959999999999994</v>
      </c>
      <c r="BM2105">
        <v>10.64</v>
      </c>
      <c r="BN2105">
        <v>81.599999999999994</v>
      </c>
      <c r="BO2105">
        <v>81.599999999999994</v>
      </c>
      <c r="BQ2105" t="s">
        <v>846</v>
      </c>
      <c r="BR2105" t="s">
        <v>97</v>
      </c>
      <c r="BS2105" s="3">
        <v>45951</v>
      </c>
      <c r="BT2105" s="4">
        <v>0.67222222222222228</v>
      </c>
      <c r="BU2105" t="s">
        <v>2789</v>
      </c>
      <c r="BV2105" t="s">
        <v>90</v>
      </c>
      <c r="BW2105" t="s">
        <v>136</v>
      </c>
      <c r="BX2105" t="s">
        <v>2248</v>
      </c>
      <c r="BY2105">
        <v>1200</v>
      </c>
      <c r="CA2105" t="s">
        <v>742</v>
      </c>
      <c r="CC2105" t="s">
        <v>454</v>
      </c>
      <c r="CD2105">
        <v>3610</v>
      </c>
      <c r="CE2105" t="s">
        <v>147</v>
      </c>
      <c r="CF2105" s="3">
        <v>45951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"080068621798"</f>
        <v>080068621798</v>
      </c>
      <c r="F2106" s="3">
        <v>45950</v>
      </c>
      <c r="G2106">
        <v>202607</v>
      </c>
      <c r="H2106" t="s">
        <v>79</v>
      </c>
      <c r="I2106" t="s">
        <v>80</v>
      </c>
      <c r="J2106" t="s">
        <v>91</v>
      </c>
      <c r="K2106" t="s">
        <v>78</v>
      </c>
      <c r="L2106" t="s">
        <v>121</v>
      </c>
      <c r="M2106" t="s">
        <v>122</v>
      </c>
      <c r="N2106" t="s">
        <v>154</v>
      </c>
      <c r="O2106" t="s">
        <v>82</v>
      </c>
      <c r="P2106" t="str">
        <f>"4170064992                    "</f>
        <v xml:space="preserve">4170064992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22.36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70.959999999999994</v>
      </c>
      <c r="BM2106">
        <v>10.64</v>
      </c>
      <c r="BN2106">
        <v>81.599999999999994</v>
      </c>
      <c r="BO2106">
        <v>81.599999999999994</v>
      </c>
      <c r="BQ2106" t="s">
        <v>155</v>
      </c>
      <c r="BR2106" t="s">
        <v>97</v>
      </c>
      <c r="BS2106" s="3">
        <v>45951</v>
      </c>
      <c r="BT2106" s="4">
        <v>0.49652777777777779</v>
      </c>
      <c r="BU2106" t="s">
        <v>2790</v>
      </c>
      <c r="BV2106" t="s">
        <v>90</v>
      </c>
      <c r="BW2106" t="s">
        <v>136</v>
      </c>
      <c r="BX2106" t="s">
        <v>1222</v>
      </c>
      <c r="BY2106">
        <v>1200</v>
      </c>
      <c r="CA2106" t="s">
        <v>157</v>
      </c>
      <c r="CC2106" t="s">
        <v>122</v>
      </c>
      <c r="CD2106">
        <v>4052</v>
      </c>
      <c r="CE2106" t="s">
        <v>147</v>
      </c>
      <c r="CF2106" s="3">
        <v>45951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"080068621821"</f>
        <v>080068621821</v>
      </c>
      <c r="F2107" s="3">
        <v>45950</v>
      </c>
      <c r="G2107">
        <v>202607</v>
      </c>
      <c r="H2107" t="s">
        <v>79</v>
      </c>
      <c r="I2107" t="s">
        <v>80</v>
      </c>
      <c r="J2107" t="s">
        <v>91</v>
      </c>
      <c r="K2107" t="s">
        <v>78</v>
      </c>
      <c r="L2107" t="s">
        <v>453</v>
      </c>
      <c r="M2107" t="s">
        <v>454</v>
      </c>
      <c r="N2107" t="s">
        <v>639</v>
      </c>
      <c r="O2107" t="s">
        <v>82</v>
      </c>
      <c r="P2107" t="str">
        <f>"4170065005                    "</f>
        <v xml:space="preserve">4170065005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22.36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70.959999999999994</v>
      </c>
      <c r="BM2107">
        <v>10.64</v>
      </c>
      <c r="BN2107">
        <v>81.599999999999994</v>
      </c>
      <c r="BO2107">
        <v>81.599999999999994</v>
      </c>
      <c r="BQ2107" t="s">
        <v>640</v>
      </c>
      <c r="BR2107" t="s">
        <v>97</v>
      </c>
      <c r="BS2107" s="3">
        <v>45951</v>
      </c>
      <c r="BT2107" s="4">
        <v>0.64652777777777781</v>
      </c>
      <c r="BU2107" t="s">
        <v>2620</v>
      </c>
      <c r="BV2107" t="s">
        <v>90</v>
      </c>
      <c r="BW2107" t="s">
        <v>136</v>
      </c>
      <c r="BX2107" t="s">
        <v>2248</v>
      </c>
      <c r="BY2107">
        <v>1200</v>
      </c>
      <c r="CA2107" t="s">
        <v>742</v>
      </c>
      <c r="CC2107" t="s">
        <v>454</v>
      </c>
      <c r="CD2107">
        <v>3610</v>
      </c>
      <c r="CE2107" t="s">
        <v>147</v>
      </c>
      <c r="CF2107" s="3">
        <v>45951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"080068621822"</f>
        <v>080068621822</v>
      </c>
      <c r="F2108" s="3">
        <v>45950</v>
      </c>
      <c r="G2108">
        <v>202607</v>
      </c>
      <c r="H2108" t="s">
        <v>79</v>
      </c>
      <c r="I2108" t="s">
        <v>80</v>
      </c>
      <c r="J2108" t="s">
        <v>91</v>
      </c>
      <c r="K2108" t="s">
        <v>78</v>
      </c>
      <c r="L2108" t="s">
        <v>322</v>
      </c>
      <c r="M2108" t="s">
        <v>322</v>
      </c>
      <c r="N2108" t="s">
        <v>483</v>
      </c>
      <c r="O2108" t="s">
        <v>82</v>
      </c>
      <c r="P2108" t="str">
        <f>"4170064894                    "</f>
        <v xml:space="preserve">4170064894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101.99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5</v>
      </c>
      <c r="BJ2108">
        <v>1.9</v>
      </c>
      <c r="BK2108">
        <v>5</v>
      </c>
      <c r="BL2108">
        <v>323.70999999999998</v>
      </c>
      <c r="BM2108">
        <v>48.56</v>
      </c>
      <c r="BN2108">
        <v>372.27</v>
      </c>
      <c r="BO2108">
        <v>372.27</v>
      </c>
      <c r="BQ2108" t="s">
        <v>486</v>
      </c>
      <c r="BR2108" t="s">
        <v>97</v>
      </c>
      <c r="BS2108" s="3">
        <v>45951</v>
      </c>
      <c r="BT2108" s="4">
        <v>0.6</v>
      </c>
      <c r="BU2108" t="s">
        <v>485</v>
      </c>
      <c r="BV2108" t="s">
        <v>90</v>
      </c>
      <c r="BW2108" t="s">
        <v>347</v>
      </c>
      <c r="BX2108" t="s">
        <v>2740</v>
      </c>
      <c r="BY2108">
        <v>9600</v>
      </c>
      <c r="CA2108" t="s">
        <v>1917</v>
      </c>
      <c r="CC2108" t="s">
        <v>322</v>
      </c>
      <c r="CD2108">
        <v>7646</v>
      </c>
      <c r="CE2108" t="s">
        <v>191</v>
      </c>
      <c r="CF2108" s="3">
        <v>45952</v>
      </c>
      <c r="CI2108">
        <v>1</v>
      </c>
      <c r="CJ2108">
        <v>1</v>
      </c>
      <c r="CK2108">
        <v>23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"080068621854"</f>
        <v>080068621854</v>
      </c>
      <c r="F2109" s="3">
        <v>45950</v>
      </c>
      <c r="G2109">
        <v>202607</v>
      </c>
      <c r="H2109" t="s">
        <v>79</v>
      </c>
      <c r="I2109" t="s">
        <v>80</v>
      </c>
      <c r="J2109" t="s">
        <v>91</v>
      </c>
      <c r="K2109" t="s">
        <v>78</v>
      </c>
      <c r="L2109" t="s">
        <v>668</v>
      </c>
      <c r="M2109" t="s">
        <v>669</v>
      </c>
      <c r="N2109" t="s">
        <v>2489</v>
      </c>
      <c r="O2109" t="s">
        <v>82</v>
      </c>
      <c r="P2109" t="str">
        <f>"4170064990                    "</f>
        <v xml:space="preserve">4170064990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17.46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0.7</v>
      </c>
      <c r="BK2109">
        <v>1</v>
      </c>
      <c r="BL2109">
        <v>55.42</v>
      </c>
      <c r="BM2109">
        <v>8.31</v>
      </c>
      <c r="BN2109">
        <v>63.73</v>
      </c>
      <c r="BO2109">
        <v>63.73</v>
      </c>
      <c r="BQ2109" t="s">
        <v>2490</v>
      </c>
      <c r="BR2109" t="s">
        <v>97</v>
      </c>
      <c r="BS2109" s="3">
        <v>45951</v>
      </c>
      <c r="BT2109" s="4">
        <v>0.42152777777777778</v>
      </c>
      <c r="BU2109" t="s">
        <v>2180</v>
      </c>
      <c r="BV2109" t="s">
        <v>86</v>
      </c>
      <c r="BY2109">
        <v>3306</v>
      </c>
      <c r="CA2109" t="s">
        <v>673</v>
      </c>
      <c r="CC2109" t="s">
        <v>669</v>
      </c>
      <c r="CD2109">
        <v>1501</v>
      </c>
      <c r="CE2109" t="s">
        <v>191</v>
      </c>
      <c r="CF2109" s="3">
        <v>45951</v>
      </c>
      <c r="CI2109">
        <v>1</v>
      </c>
      <c r="CJ2109">
        <v>1</v>
      </c>
      <c r="CK2109">
        <v>22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"080068621862"</f>
        <v>080068621862</v>
      </c>
      <c r="F2110" s="3">
        <v>45950</v>
      </c>
      <c r="G2110">
        <v>202607</v>
      </c>
      <c r="H2110" t="s">
        <v>79</v>
      </c>
      <c r="I2110" t="s">
        <v>80</v>
      </c>
      <c r="J2110" t="s">
        <v>91</v>
      </c>
      <c r="K2110" t="s">
        <v>78</v>
      </c>
      <c r="L2110" t="s">
        <v>446</v>
      </c>
      <c r="M2110" t="s">
        <v>447</v>
      </c>
      <c r="N2110" t="s">
        <v>448</v>
      </c>
      <c r="O2110" t="s">
        <v>82</v>
      </c>
      <c r="P2110" t="str">
        <f>"4170064961                    "</f>
        <v xml:space="preserve">4170064961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43.31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137.47</v>
      </c>
      <c r="BM2110">
        <v>20.62</v>
      </c>
      <c r="BN2110">
        <v>158.09</v>
      </c>
      <c r="BO2110">
        <v>158.09</v>
      </c>
      <c r="BQ2110" t="s">
        <v>449</v>
      </c>
      <c r="BR2110" t="s">
        <v>97</v>
      </c>
      <c r="BS2110" s="3">
        <v>45951</v>
      </c>
      <c r="BT2110" s="4">
        <v>0.44374999999999998</v>
      </c>
      <c r="BU2110" t="s">
        <v>450</v>
      </c>
      <c r="BV2110" t="s">
        <v>86</v>
      </c>
      <c r="BY2110">
        <v>1200</v>
      </c>
      <c r="CA2110" t="s">
        <v>1124</v>
      </c>
      <c r="CC2110" t="s">
        <v>447</v>
      </c>
      <c r="CD2110">
        <v>7130</v>
      </c>
      <c r="CE2110" t="s">
        <v>147</v>
      </c>
      <c r="CF2110" s="3">
        <v>45952</v>
      </c>
      <c r="CI2110">
        <v>1</v>
      </c>
      <c r="CJ2110">
        <v>1</v>
      </c>
      <c r="CK2110">
        <v>23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"080068621897"</f>
        <v>080068621897</v>
      </c>
      <c r="F2111" s="3">
        <v>45950</v>
      </c>
      <c r="G2111">
        <v>202607</v>
      </c>
      <c r="H2111" t="s">
        <v>79</v>
      </c>
      <c r="I2111" t="s">
        <v>80</v>
      </c>
      <c r="J2111" t="s">
        <v>91</v>
      </c>
      <c r="K2111" t="s">
        <v>78</v>
      </c>
      <c r="L2111" t="s">
        <v>206</v>
      </c>
      <c r="M2111" t="s">
        <v>207</v>
      </c>
      <c r="N2111" t="s">
        <v>566</v>
      </c>
      <c r="O2111" t="s">
        <v>82</v>
      </c>
      <c r="P2111" t="str">
        <f>"4170064979                    "</f>
        <v xml:space="preserve">4170064979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22.36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70.959999999999994</v>
      </c>
      <c r="BM2111">
        <v>10.64</v>
      </c>
      <c r="BN2111">
        <v>81.599999999999994</v>
      </c>
      <c r="BO2111">
        <v>81.599999999999994</v>
      </c>
      <c r="BQ2111" t="s">
        <v>567</v>
      </c>
      <c r="BR2111" t="s">
        <v>97</v>
      </c>
      <c r="BS2111" s="3">
        <v>45951</v>
      </c>
      <c r="BT2111" s="4">
        <v>0.38541666666666669</v>
      </c>
      <c r="BU2111" t="s">
        <v>2791</v>
      </c>
      <c r="BV2111" t="s">
        <v>86</v>
      </c>
      <c r="BY2111">
        <v>1200</v>
      </c>
      <c r="CA2111" t="s">
        <v>2792</v>
      </c>
      <c r="CC2111" t="s">
        <v>207</v>
      </c>
      <c r="CD2111">
        <v>7945</v>
      </c>
      <c r="CE2111" t="s">
        <v>147</v>
      </c>
      <c r="CF2111" s="3">
        <v>45952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"080068621902"</f>
        <v>080068621902</v>
      </c>
      <c r="F2112" s="3">
        <v>45950</v>
      </c>
      <c r="G2112">
        <v>202607</v>
      </c>
      <c r="H2112" t="s">
        <v>79</v>
      </c>
      <c r="I2112" t="s">
        <v>80</v>
      </c>
      <c r="J2112" t="s">
        <v>91</v>
      </c>
      <c r="K2112" t="s">
        <v>78</v>
      </c>
      <c r="L2112" t="s">
        <v>453</v>
      </c>
      <c r="M2112" t="s">
        <v>454</v>
      </c>
      <c r="N2112" t="s">
        <v>1816</v>
      </c>
      <c r="O2112" t="s">
        <v>82</v>
      </c>
      <c r="P2112" t="str">
        <f>"4170064935                    "</f>
        <v xml:space="preserve">4170064935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22.36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0.7</v>
      </c>
      <c r="BK2112">
        <v>1</v>
      </c>
      <c r="BL2112">
        <v>70.959999999999994</v>
      </c>
      <c r="BM2112">
        <v>10.64</v>
      </c>
      <c r="BN2112">
        <v>81.599999999999994</v>
      </c>
      <c r="BO2112">
        <v>81.599999999999994</v>
      </c>
      <c r="BQ2112" t="s">
        <v>1817</v>
      </c>
      <c r="BR2112" t="s">
        <v>97</v>
      </c>
      <c r="BS2112" s="3">
        <v>45951</v>
      </c>
      <c r="BT2112" s="4">
        <v>0.43819444444444444</v>
      </c>
      <c r="BU2112" t="s">
        <v>2793</v>
      </c>
      <c r="BV2112" t="s">
        <v>90</v>
      </c>
      <c r="BW2112" t="s">
        <v>136</v>
      </c>
      <c r="BX2112" t="s">
        <v>2248</v>
      </c>
      <c r="BY2112">
        <v>3306</v>
      </c>
      <c r="CA2112" t="s">
        <v>742</v>
      </c>
      <c r="CC2112" t="s">
        <v>454</v>
      </c>
      <c r="CD2112">
        <v>3620</v>
      </c>
      <c r="CE2112" t="s">
        <v>191</v>
      </c>
      <c r="CF2112" s="3">
        <v>45951</v>
      </c>
      <c r="CI2112">
        <v>1</v>
      </c>
      <c r="CJ2112">
        <v>1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"080068621980"</f>
        <v>080068621980</v>
      </c>
      <c r="F2113" s="3">
        <v>45950</v>
      </c>
      <c r="G2113">
        <v>202607</v>
      </c>
      <c r="H2113" t="s">
        <v>79</v>
      </c>
      <c r="I2113" t="s">
        <v>80</v>
      </c>
      <c r="J2113" t="s">
        <v>91</v>
      </c>
      <c r="K2113" t="s">
        <v>78</v>
      </c>
      <c r="L2113" t="s">
        <v>333</v>
      </c>
      <c r="M2113" t="s">
        <v>334</v>
      </c>
      <c r="N2113" t="s">
        <v>1388</v>
      </c>
      <c r="O2113" t="s">
        <v>82</v>
      </c>
      <c r="P2113" t="str">
        <f>"4170064953                    "</f>
        <v xml:space="preserve">4170064953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22.36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0.9</v>
      </c>
      <c r="BK2113">
        <v>1</v>
      </c>
      <c r="BL2113">
        <v>70.959999999999994</v>
      </c>
      <c r="BM2113">
        <v>10.64</v>
      </c>
      <c r="BN2113">
        <v>81.599999999999994</v>
      </c>
      <c r="BO2113">
        <v>81.599999999999994</v>
      </c>
      <c r="BQ2113" t="s">
        <v>1389</v>
      </c>
      <c r="BR2113" t="s">
        <v>97</v>
      </c>
      <c r="BS2113" s="3">
        <v>45951</v>
      </c>
      <c r="BT2113" s="4">
        <v>0.3840277777777778</v>
      </c>
      <c r="BU2113" t="s">
        <v>1390</v>
      </c>
      <c r="BV2113" t="s">
        <v>86</v>
      </c>
      <c r="BY2113">
        <v>4275</v>
      </c>
      <c r="CA2113" t="s">
        <v>142</v>
      </c>
      <c r="CC2113" t="s">
        <v>334</v>
      </c>
      <c r="CD2113">
        <v>6220</v>
      </c>
      <c r="CE2113" t="s">
        <v>191</v>
      </c>
      <c r="CF2113" s="3">
        <v>45951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"080068622159"</f>
        <v>080068622159</v>
      </c>
      <c r="F2114" s="3">
        <v>45950</v>
      </c>
      <c r="G2114">
        <v>202607</v>
      </c>
      <c r="H2114" t="s">
        <v>79</v>
      </c>
      <c r="I2114" t="s">
        <v>80</v>
      </c>
      <c r="J2114" t="s">
        <v>91</v>
      </c>
      <c r="K2114" t="s">
        <v>78</v>
      </c>
      <c r="L2114" t="s">
        <v>206</v>
      </c>
      <c r="M2114" t="s">
        <v>207</v>
      </c>
      <c r="N2114" t="s">
        <v>935</v>
      </c>
      <c r="O2114" t="s">
        <v>82</v>
      </c>
      <c r="P2114" t="str">
        <f>"4170064997                    "</f>
        <v xml:space="preserve">4170064997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39.11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3.4</v>
      </c>
      <c r="BK2114">
        <v>3.5</v>
      </c>
      <c r="BL2114">
        <v>124.13</v>
      </c>
      <c r="BM2114">
        <v>18.62</v>
      </c>
      <c r="BN2114">
        <v>142.75</v>
      </c>
      <c r="BO2114">
        <v>142.75</v>
      </c>
      <c r="BQ2114" t="s">
        <v>936</v>
      </c>
      <c r="BR2114" t="s">
        <v>97</v>
      </c>
      <c r="BS2114" s="3">
        <v>45951</v>
      </c>
      <c r="BT2114" s="4">
        <v>0.41249999999999998</v>
      </c>
      <c r="BU2114" t="s">
        <v>2794</v>
      </c>
      <c r="BV2114" t="s">
        <v>86</v>
      </c>
      <c r="BY2114">
        <v>16965</v>
      </c>
      <c r="CA2114" t="s">
        <v>2795</v>
      </c>
      <c r="CC2114" t="s">
        <v>207</v>
      </c>
      <c r="CD2114">
        <v>7441</v>
      </c>
      <c r="CE2114" t="s">
        <v>191</v>
      </c>
      <c r="CF2114" s="3">
        <v>45952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"080068622195"</f>
        <v>080068622195</v>
      </c>
      <c r="F2115" s="3">
        <v>45950</v>
      </c>
      <c r="G2115">
        <v>202607</v>
      </c>
      <c r="H2115" t="s">
        <v>79</v>
      </c>
      <c r="I2115" t="s">
        <v>80</v>
      </c>
      <c r="J2115" t="s">
        <v>91</v>
      </c>
      <c r="K2115" t="s">
        <v>78</v>
      </c>
      <c r="L2115" t="s">
        <v>218</v>
      </c>
      <c r="M2115" t="s">
        <v>219</v>
      </c>
      <c r="N2115" t="s">
        <v>520</v>
      </c>
      <c r="O2115" t="s">
        <v>82</v>
      </c>
      <c r="P2115" t="str">
        <f>"4170064949                    "</f>
        <v xml:space="preserve">4170064949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17.46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1.5</v>
      </c>
      <c r="BK2115">
        <v>2</v>
      </c>
      <c r="BL2115">
        <v>55.42</v>
      </c>
      <c r="BM2115">
        <v>8.31</v>
      </c>
      <c r="BN2115">
        <v>63.73</v>
      </c>
      <c r="BO2115">
        <v>63.73</v>
      </c>
      <c r="BQ2115" t="s">
        <v>521</v>
      </c>
      <c r="BR2115" t="s">
        <v>97</v>
      </c>
      <c r="BS2115" s="3">
        <v>45951</v>
      </c>
      <c r="BT2115" s="4">
        <v>0.40277777777777779</v>
      </c>
      <c r="BU2115" t="s">
        <v>2796</v>
      </c>
      <c r="BV2115" t="s">
        <v>86</v>
      </c>
      <c r="BY2115">
        <v>7540</v>
      </c>
      <c r="CA2115" t="s">
        <v>1434</v>
      </c>
      <c r="CC2115" t="s">
        <v>219</v>
      </c>
      <c r="CD2115">
        <v>1559</v>
      </c>
      <c r="CE2115" t="s">
        <v>191</v>
      </c>
      <c r="CF2115" s="3">
        <v>45951</v>
      </c>
      <c r="CI2115">
        <v>1</v>
      </c>
      <c r="CJ2115">
        <v>1</v>
      </c>
      <c r="CK2115">
        <v>22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"080068622231"</f>
        <v>080068622231</v>
      </c>
      <c r="F2116" s="3">
        <v>45950</v>
      </c>
      <c r="G2116">
        <v>202607</v>
      </c>
      <c r="H2116" t="s">
        <v>79</v>
      </c>
      <c r="I2116" t="s">
        <v>80</v>
      </c>
      <c r="J2116" t="s">
        <v>91</v>
      </c>
      <c r="K2116" t="s">
        <v>78</v>
      </c>
      <c r="L2116" t="s">
        <v>121</v>
      </c>
      <c r="M2116" t="s">
        <v>122</v>
      </c>
      <c r="N2116" t="s">
        <v>159</v>
      </c>
      <c r="O2116" t="s">
        <v>82</v>
      </c>
      <c r="P2116" t="str">
        <f>"4170064849                    "</f>
        <v xml:space="preserve">4170064849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22.36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70.959999999999994</v>
      </c>
      <c r="BM2116">
        <v>10.64</v>
      </c>
      <c r="BN2116">
        <v>81.599999999999994</v>
      </c>
      <c r="BO2116">
        <v>81.599999999999994</v>
      </c>
      <c r="BQ2116" t="s">
        <v>160</v>
      </c>
      <c r="BR2116" t="s">
        <v>97</v>
      </c>
      <c r="BS2116" s="3">
        <v>45951</v>
      </c>
      <c r="BT2116" s="4">
        <v>0.46250000000000002</v>
      </c>
      <c r="BU2116" t="s">
        <v>2781</v>
      </c>
      <c r="BV2116" t="s">
        <v>90</v>
      </c>
      <c r="BW2116" t="s">
        <v>136</v>
      </c>
      <c r="BX2116" t="s">
        <v>2248</v>
      </c>
      <c r="BY2116">
        <v>1200</v>
      </c>
      <c r="CA2116" t="s">
        <v>742</v>
      </c>
      <c r="CC2116" t="s">
        <v>122</v>
      </c>
      <c r="CD2116">
        <v>4000</v>
      </c>
      <c r="CE2116" t="s">
        <v>147</v>
      </c>
      <c r="CF2116" s="3">
        <v>45951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"080068622649"</f>
        <v>080068622649</v>
      </c>
      <c r="F2117" s="3">
        <v>45950</v>
      </c>
      <c r="G2117">
        <v>202607</v>
      </c>
      <c r="H2117" t="s">
        <v>79</v>
      </c>
      <c r="I2117" t="s">
        <v>80</v>
      </c>
      <c r="J2117" t="s">
        <v>91</v>
      </c>
      <c r="K2117" t="s">
        <v>78</v>
      </c>
      <c r="L2117" t="s">
        <v>453</v>
      </c>
      <c r="M2117" t="s">
        <v>454</v>
      </c>
      <c r="N2117" t="s">
        <v>2797</v>
      </c>
      <c r="O2117" t="s">
        <v>95</v>
      </c>
      <c r="P2117" t="str">
        <f>"4170065076                    "</f>
        <v xml:space="preserve">4170065076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400.19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2</v>
      </c>
      <c r="BI2117">
        <v>152</v>
      </c>
      <c r="BJ2117">
        <v>214.8</v>
      </c>
      <c r="BK2117">
        <v>215</v>
      </c>
      <c r="BL2117">
        <v>1276.04</v>
      </c>
      <c r="BM2117">
        <v>191.41</v>
      </c>
      <c r="BN2117">
        <v>1467.45</v>
      </c>
      <c r="BO2117">
        <v>1467.45</v>
      </c>
      <c r="BQ2117" t="s">
        <v>2798</v>
      </c>
      <c r="BR2117" t="s">
        <v>97</v>
      </c>
      <c r="BS2117" s="3">
        <v>45951</v>
      </c>
      <c r="BT2117" s="4">
        <v>0.5625</v>
      </c>
      <c r="BU2117" t="s">
        <v>2799</v>
      </c>
      <c r="BV2117" t="s">
        <v>86</v>
      </c>
      <c r="BY2117">
        <v>1073904</v>
      </c>
      <c r="CC2117" t="s">
        <v>454</v>
      </c>
      <c r="CD2117">
        <v>4037</v>
      </c>
      <c r="CE2117" t="s">
        <v>2800</v>
      </c>
      <c r="CF2117" s="3">
        <v>45952</v>
      </c>
      <c r="CI2117">
        <v>1</v>
      </c>
      <c r="CJ2117">
        <v>1</v>
      </c>
      <c r="CK2117">
        <v>41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"080068622834"</f>
        <v>080068622834</v>
      </c>
      <c r="F2118" s="3">
        <v>45950</v>
      </c>
      <c r="G2118">
        <v>202607</v>
      </c>
      <c r="H2118" t="s">
        <v>79</v>
      </c>
      <c r="I2118" t="s">
        <v>80</v>
      </c>
      <c r="J2118" t="s">
        <v>91</v>
      </c>
      <c r="K2118" t="s">
        <v>78</v>
      </c>
      <c r="L2118" t="s">
        <v>2801</v>
      </c>
      <c r="M2118" t="s">
        <v>2801</v>
      </c>
      <c r="N2118" t="s">
        <v>2802</v>
      </c>
      <c r="O2118" t="s">
        <v>82</v>
      </c>
      <c r="P2118" t="str">
        <f>"4170065078                    "</f>
        <v xml:space="preserve">4170065078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43.31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137.47</v>
      </c>
      <c r="BM2118">
        <v>20.62</v>
      </c>
      <c r="BN2118">
        <v>158.09</v>
      </c>
      <c r="BO2118">
        <v>158.09</v>
      </c>
      <c r="BQ2118" t="s">
        <v>2803</v>
      </c>
      <c r="BR2118" t="s">
        <v>97</v>
      </c>
      <c r="BS2118" s="3">
        <v>45951</v>
      </c>
      <c r="BT2118" s="4">
        <v>0.4861111111111111</v>
      </c>
      <c r="BU2118" t="s">
        <v>2804</v>
      </c>
      <c r="BV2118" t="s">
        <v>86</v>
      </c>
      <c r="BY2118">
        <v>1200</v>
      </c>
      <c r="CA2118" t="s">
        <v>2805</v>
      </c>
      <c r="CC2118" t="s">
        <v>2801</v>
      </c>
      <c r="CD2118">
        <v>6835</v>
      </c>
      <c r="CE2118" t="s">
        <v>147</v>
      </c>
      <c r="CF2118" s="3">
        <v>45952</v>
      </c>
      <c r="CI2118">
        <v>2</v>
      </c>
      <c r="CJ2118">
        <v>1</v>
      </c>
      <c r="CK2118">
        <v>23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"080068622835"</f>
        <v>080068622835</v>
      </c>
      <c r="F2119" s="3">
        <v>45950</v>
      </c>
      <c r="G2119">
        <v>202607</v>
      </c>
      <c r="H2119" t="s">
        <v>79</v>
      </c>
      <c r="I2119" t="s">
        <v>80</v>
      </c>
      <c r="J2119" t="s">
        <v>91</v>
      </c>
      <c r="K2119" t="s">
        <v>78</v>
      </c>
      <c r="L2119" t="s">
        <v>809</v>
      </c>
      <c r="M2119" t="s">
        <v>810</v>
      </c>
      <c r="N2119" t="s">
        <v>2806</v>
      </c>
      <c r="O2119" t="s">
        <v>226</v>
      </c>
      <c r="P2119" t="str">
        <f>"4170065057                    "</f>
        <v xml:space="preserve">4170065057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21.39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6.4</v>
      </c>
      <c r="BJ2119">
        <v>9.4</v>
      </c>
      <c r="BK2119">
        <v>10</v>
      </c>
      <c r="BL2119">
        <v>67.88</v>
      </c>
      <c r="BM2119">
        <v>10.18</v>
      </c>
      <c r="BN2119">
        <v>78.06</v>
      </c>
      <c r="BO2119">
        <v>78.06</v>
      </c>
      <c r="BQ2119" t="s">
        <v>2807</v>
      </c>
      <c r="BR2119" t="s">
        <v>97</v>
      </c>
      <c r="BS2119" s="3">
        <v>45951</v>
      </c>
      <c r="BT2119" s="4">
        <v>0.39930555555555558</v>
      </c>
      <c r="BU2119" t="s">
        <v>2808</v>
      </c>
      <c r="BV2119" t="s">
        <v>86</v>
      </c>
      <c r="BY2119">
        <v>47172.13</v>
      </c>
      <c r="CA2119" t="s">
        <v>1300</v>
      </c>
      <c r="CC2119" t="s">
        <v>810</v>
      </c>
      <c r="CD2119">
        <v>1724</v>
      </c>
      <c r="CE2119" t="s">
        <v>191</v>
      </c>
      <c r="CF2119" s="3">
        <v>45951</v>
      </c>
      <c r="CI2119">
        <v>1</v>
      </c>
      <c r="CJ2119">
        <v>1</v>
      </c>
      <c r="CK2119">
        <v>32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"080068622894"</f>
        <v>080068622894</v>
      </c>
      <c r="F2120" s="3">
        <v>45950</v>
      </c>
      <c r="G2120">
        <v>202607</v>
      </c>
      <c r="H2120" t="s">
        <v>79</v>
      </c>
      <c r="I2120" t="s">
        <v>80</v>
      </c>
      <c r="J2120" t="s">
        <v>91</v>
      </c>
      <c r="K2120" t="s">
        <v>78</v>
      </c>
      <c r="L2120" t="s">
        <v>233</v>
      </c>
      <c r="M2120" t="s">
        <v>234</v>
      </c>
      <c r="N2120" t="s">
        <v>908</v>
      </c>
      <c r="O2120" t="s">
        <v>82</v>
      </c>
      <c r="P2120" t="str">
        <f>"4170065113                    "</f>
        <v xml:space="preserve">4170065113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22.36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1.3</v>
      </c>
      <c r="BJ2120">
        <v>1.2</v>
      </c>
      <c r="BK2120">
        <v>1.5</v>
      </c>
      <c r="BL2120">
        <v>70.959999999999994</v>
      </c>
      <c r="BM2120">
        <v>10.64</v>
      </c>
      <c r="BN2120">
        <v>81.599999999999994</v>
      </c>
      <c r="BO2120">
        <v>81.599999999999994</v>
      </c>
      <c r="BQ2120" t="s">
        <v>909</v>
      </c>
      <c r="BR2120" t="s">
        <v>97</v>
      </c>
      <c r="BS2120" s="3">
        <v>45951</v>
      </c>
      <c r="BT2120" s="4">
        <v>0.31944444444444442</v>
      </c>
      <c r="BU2120" t="s">
        <v>1275</v>
      </c>
      <c r="BV2120" t="s">
        <v>86</v>
      </c>
      <c r="BY2120">
        <v>5821.31</v>
      </c>
      <c r="CA2120">
        <v>7712195338085</v>
      </c>
      <c r="CC2120" t="s">
        <v>234</v>
      </c>
      <c r="CD2120" s="5" t="s">
        <v>238</v>
      </c>
      <c r="CE2120" t="s">
        <v>147</v>
      </c>
      <c r="CF2120" s="3">
        <v>45951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"080068622910"</f>
        <v>080068622910</v>
      </c>
      <c r="F2121" s="3">
        <v>45950</v>
      </c>
      <c r="G2121">
        <v>202607</v>
      </c>
      <c r="H2121" t="s">
        <v>79</v>
      </c>
      <c r="I2121" t="s">
        <v>80</v>
      </c>
      <c r="J2121" t="s">
        <v>91</v>
      </c>
      <c r="K2121" t="s">
        <v>78</v>
      </c>
      <c r="L2121" t="s">
        <v>218</v>
      </c>
      <c r="M2121" t="s">
        <v>219</v>
      </c>
      <c r="N2121" t="s">
        <v>520</v>
      </c>
      <c r="O2121" t="s">
        <v>82</v>
      </c>
      <c r="P2121" t="str">
        <f>"4170065017                    "</f>
        <v xml:space="preserve">4170065017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17.46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1.8</v>
      </c>
      <c r="BK2121">
        <v>2</v>
      </c>
      <c r="BL2121">
        <v>55.42</v>
      </c>
      <c r="BM2121">
        <v>8.31</v>
      </c>
      <c r="BN2121">
        <v>63.73</v>
      </c>
      <c r="BO2121">
        <v>63.73</v>
      </c>
      <c r="BQ2121" t="s">
        <v>1805</v>
      </c>
      <c r="BR2121" t="s">
        <v>97</v>
      </c>
      <c r="BS2121" s="3">
        <v>45951</v>
      </c>
      <c r="BT2121" s="4">
        <v>0.40277777777777779</v>
      </c>
      <c r="BU2121" t="s">
        <v>2796</v>
      </c>
      <c r="BV2121" t="s">
        <v>86</v>
      </c>
      <c r="BY2121">
        <v>8816</v>
      </c>
      <c r="CA2121" t="s">
        <v>1434</v>
      </c>
      <c r="CC2121" t="s">
        <v>219</v>
      </c>
      <c r="CD2121">
        <v>1559</v>
      </c>
      <c r="CE2121" t="s">
        <v>191</v>
      </c>
      <c r="CF2121" s="3">
        <v>45951</v>
      </c>
      <c r="CI2121">
        <v>1</v>
      </c>
      <c r="CJ2121">
        <v>1</v>
      </c>
      <c r="CK2121">
        <v>22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"080068622920"</f>
        <v>080068622920</v>
      </c>
      <c r="F2122" s="3">
        <v>45950</v>
      </c>
      <c r="G2122">
        <v>202607</v>
      </c>
      <c r="H2122" t="s">
        <v>79</v>
      </c>
      <c r="I2122" t="s">
        <v>80</v>
      </c>
      <c r="J2122" t="s">
        <v>91</v>
      </c>
      <c r="K2122" t="s">
        <v>78</v>
      </c>
      <c r="L2122" t="s">
        <v>121</v>
      </c>
      <c r="M2122" t="s">
        <v>122</v>
      </c>
      <c r="N2122" t="s">
        <v>123</v>
      </c>
      <c r="O2122" t="s">
        <v>82</v>
      </c>
      <c r="P2122" t="str">
        <f>"4170065110                    "</f>
        <v xml:space="preserve">4170065110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22.36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70.959999999999994</v>
      </c>
      <c r="BM2122">
        <v>10.64</v>
      </c>
      <c r="BN2122">
        <v>81.599999999999994</v>
      </c>
      <c r="BO2122">
        <v>81.599999999999994</v>
      </c>
      <c r="BQ2122" t="s">
        <v>124</v>
      </c>
      <c r="BR2122" t="s">
        <v>97</v>
      </c>
      <c r="BS2122" s="3">
        <v>45951</v>
      </c>
      <c r="BT2122" s="4">
        <v>0.34236111111111112</v>
      </c>
      <c r="BU2122" t="s">
        <v>757</v>
      </c>
      <c r="BV2122" t="s">
        <v>86</v>
      </c>
      <c r="BY2122">
        <v>1200</v>
      </c>
      <c r="CA2122" t="s">
        <v>758</v>
      </c>
      <c r="CC2122" t="s">
        <v>122</v>
      </c>
      <c r="CD2122">
        <v>4000</v>
      </c>
      <c r="CE2122" t="s">
        <v>147</v>
      </c>
      <c r="CF2122" s="3">
        <v>45952</v>
      </c>
      <c r="CI2122">
        <v>1</v>
      </c>
      <c r="CJ2122">
        <v>1</v>
      </c>
      <c r="CK2122">
        <v>21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"080068622952"</f>
        <v>080068622952</v>
      </c>
      <c r="F2123" s="3">
        <v>45950</v>
      </c>
      <c r="G2123">
        <v>202607</v>
      </c>
      <c r="H2123" t="s">
        <v>79</v>
      </c>
      <c r="I2123" t="s">
        <v>80</v>
      </c>
      <c r="J2123" t="s">
        <v>91</v>
      </c>
      <c r="K2123" t="s">
        <v>78</v>
      </c>
      <c r="L2123" t="s">
        <v>1736</v>
      </c>
      <c r="M2123" t="s">
        <v>1737</v>
      </c>
      <c r="N2123" t="s">
        <v>1738</v>
      </c>
      <c r="O2123" t="s">
        <v>82</v>
      </c>
      <c r="P2123" t="str">
        <f>"4170065071                    "</f>
        <v xml:space="preserve">4170065071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22.36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70.959999999999994</v>
      </c>
      <c r="BM2123">
        <v>10.64</v>
      </c>
      <c r="BN2123">
        <v>81.599999999999994</v>
      </c>
      <c r="BO2123">
        <v>81.599999999999994</v>
      </c>
      <c r="BQ2123" t="s">
        <v>1739</v>
      </c>
      <c r="BR2123" t="s">
        <v>97</v>
      </c>
      <c r="BS2123" s="3">
        <v>45951</v>
      </c>
      <c r="BT2123" s="4">
        <v>0.49652777777777779</v>
      </c>
      <c r="BU2123" t="s">
        <v>1740</v>
      </c>
      <c r="BV2123" t="s">
        <v>90</v>
      </c>
      <c r="BW2123" t="s">
        <v>136</v>
      </c>
      <c r="BX2123" t="s">
        <v>1222</v>
      </c>
      <c r="BY2123">
        <v>1200</v>
      </c>
      <c r="CA2123" t="s">
        <v>157</v>
      </c>
      <c r="CC2123" t="s">
        <v>1737</v>
      </c>
      <c r="CD2123">
        <v>4026</v>
      </c>
      <c r="CE2123" t="s">
        <v>147</v>
      </c>
      <c r="CF2123" s="3">
        <v>45951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"080068622958"</f>
        <v>080068622958</v>
      </c>
      <c r="F2124" s="3">
        <v>45950</v>
      </c>
      <c r="G2124">
        <v>202607</v>
      </c>
      <c r="H2124" t="s">
        <v>79</v>
      </c>
      <c r="I2124" t="s">
        <v>80</v>
      </c>
      <c r="J2124" t="s">
        <v>91</v>
      </c>
      <c r="K2124" t="s">
        <v>78</v>
      </c>
      <c r="L2124" t="s">
        <v>300</v>
      </c>
      <c r="M2124" t="s">
        <v>301</v>
      </c>
      <c r="N2124" t="s">
        <v>335</v>
      </c>
      <c r="O2124" t="s">
        <v>82</v>
      </c>
      <c r="P2124" t="str">
        <f>"4170065107                    "</f>
        <v xml:space="preserve">4170065107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46.75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2.8</v>
      </c>
      <c r="BJ2124">
        <v>0.7</v>
      </c>
      <c r="BK2124">
        <v>3</v>
      </c>
      <c r="BL2124">
        <v>148.38</v>
      </c>
      <c r="BM2124">
        <v>22.26</v>
      </c>
      <c r="BN2124">
        <v>170.64</v>
      </c>
      <c r="BO2124">
        <v>170.64</v>
      </c>
      <c r="BQ2124" t="s">
        <v>475</v>
      </c>
      <c r="BR2124" t="s">
        <v>97</v>
      </c>
      <c r="BS2124" s="3">
        <v>45951</v>
      </c>
      <c r="BT2124" s="4">
        <v>0.40277777777777779</v>
      </c>
      <c r="BU2124" t="s">
        <v>2724</v>
      </c>
      <c r="BV2124" t="s">
        <v>86</v>
      </c>
      <c r="BY2124">
        <v>3605</v>
      </c>
      <c r="CA2124" t="s">
        <v>974</v>
      </c>
      <c r="CC2124" t="s">
        <v>301</v>
      </c>
      <c r="CD2124">
        <v>1754</v>
      </c>
      <c r="CE2124" t="s">
        <v>191</v>
      </c>
      <c r="CF2124" s="3">
        <v>45952</v>
      </c>
      <c r="CI2124">
        <v>1</v>
      </c>
      <c r="CJ2124">
        <v>1</v>
      </c>
      <c r="CK2124">
        <v>24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"080068622986"</f>
        <v>080068622986</v>
      </c>
      <c r="F2125" s="3">
        <v>45950</v>
      </c>
      <c r="G2125">
        <v>202607</v>
      </c>
      <c r="H2125" t="s">
        <v>79</v>
      </c>
      <c r="I2125" t="s">
        <v>80</v>
      </c>
      <c r="J2125" t="s">
        <v>91</v>
      </c>
      <c r="K2125" t="s">
        <v>78</v>
      </c>
      <c r="L2125" t="s">
        <v>206</v>
      </c>
      <c r="M2125" t="s">
        <v>207</v>
      </c>
      <c r="N2125" t="s">
        <v>1348</v>
      </c>
      <c r="O2125" t="s">
        <v>82</v>
      </c>
      <c r="P2125" t="str">
        <f>"4170065106                    "</f>
        <v xml:space="preserve">4170065106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22.36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70.959999999999994</v>
      </c>
      <c r="BM2125">
        <v>10.64</v>
      </c>
      <c r="BN2125">
        <v>81.599999999999994</v>
      </c>
      <c r="BO2125">
        <v>81.599999999999994</v>
      </c>
      <c r="BQ2125" t="s">
        <v>1349</v>
      </c>
      <c r="BR2125" t="s">
        <v>97</v>
      </c>
      <c r="BS2125" s="3">
        <v>45951</v>
      </c>
      <c r="BT2125" s="4">
        <v>0.38958333333333334</v>
      </c>
      <c r="BU2125" t="s">
        <v>1350</v>
      </c>
      <c r="BV2125" t="s">
        <v>86</v>
      </c>
      <c r="BY2125">
        <v>1200</v>
      </c>
      <c r="CA2125" t="s">
        <v>1191</v>
      </c>
      <c r="CC2125" t="s">
        <v>207</v>
      </c>
      <c r="CD2125">
        <v>7780</v>
      </c>
      <c r="CE2125" t="s">
        <v>147</v>
      </c>
      <c r="CF2125" s="3">
        <v>45952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"080068622993"</f>
        <v>080068622993</v>
      </c>
      <c r="F2126" s="3">
        <v>45950</v>
      </c>
      <c r="G2126">
        <v>202607</v>
      </c>
      <c r="H2126" t="s">
        <v>79</v>
      </c>
      <c r="I2126" t="s">
        <v>80</v>
      </c>
      <c r="J2126" t="s">
        <v>91</v>
      </c>
      <c r="K2126" t="s">
        <v>78</v>
      </c>
      <c r="L2126" t="s">
        <v>168</v>
      </c>
      <c r="M2126" t="s">
        <v>169</v>
      </c>
      <c r="N2126" t="s">
        <v>2663</v>
      </c>
      <c r="O2126" t="s">
        <v>82</v>
      </c>
      <c r="P2126" t="str">
        <f>"4170065092                    "</f>
        <v xml:space="preserve">4170065092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22.36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0.9</v>
      </c>
      <c r="BJ2126">
        <v>1.8</v>
      </c>
      <c r="BK2126">
        <v>2</v>
      </c>
      <c r="BL2126">
        <v>70.959999999999994</v>
      </c>
      <c r="BM2126">
        <v>10.64</v>
      </c>
      <c r="BN2126">
        <v>81.599999999999994</v>
      </c>
      <c r="BO2126">
        <v>81.599999999999994</v>
      </c>
      <c r="BQ2126" t="s">
        <v>2664</v>
      </c>
      <c r="BR2126" t="s">
        <v>97</v>
      </c>
      <c r="BS2126" s="3">
        <v>45951</v>
      </c>
      <c r="BT2126" s="4">
        <v>0.3840277777777778</v>
      </c>
      <c r="BU2126" t="s">
        <v>2665</v>
      </c>
      <c r="BV2126" t="s">
        <v>86</v>
      </c>
      <c r="BY2126">
        <v>8795.48</v>
      </c>
      <c r="CA2126">
        <v>9501025667088</v>
      </c>
      <c r="CC2126" t="s">
        <v>169</v>
      </c>
      <c r="CD2126" s="5" t="s">
        <v>2666</v>
      </c>
      <c r="CE2126" t="s">
        <v>191</v>
      </c>
      <c r="CF2126" s="3">
        <v>45951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"080068623870"</f>
        <v>080068623870</v>
      </c>
      <c r="F2127" s="3">
        <v>45950</v>
      </c>
      <c r="G2127">
        <v>202607</v>
      </c>
      <c r="H2127" t="s">
        <v>79</v>
      </c>
      <c r="I2127" t="s">
        <v>80</v>
      </c>
      <c r="J2127" t="s">
        <v>91</v>
      </c>
      <c r="K2127" t="s">
        <v>78</v>
      </c>
      <c r="L2127" t="s">
        <v>148</v>
      </c>
      <c r="M2127" t="s">
        <v>149</v>
      </c>
      <c r="N2127" t="s">
        <v>911</v>
      </c>
      <c r="O2127" t="s">
        <v>82</v>
      </c>
      <c r="P2127" t="str">
        <f>"4170065025                    "</f>
        <v xml:space="preserve">4170065025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22.36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16.739999999999998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0.6</v>
      </c>
      <c r="BJ2127">
        <v>1.8</v>
      </c>
      <c r="BK2127">
        <v>2</v>
      </c>
      <c r="BL2127">
        <v>87.7</v>
      </c>
      <c r="BM2127">
        <v>13.16</v>
      </c>
      <c r="BN2127">
        <v>100.86</v>
      </c>
      <c r="BO2127">
        <v>100.86</v>
      </c>
      <c r="BQ2127" t="s">
        <v>912</v>
      </c>
      <c r="BR2127" t="s">
        <v>97</v>
      </c>
      <c r="BS2127" s="3">
        <v>45951</v>
      </c>
      <c r="BT2127" s="4">
        <v>0.43055555555555558</v>
      </c>
      <c r="BU2127" t="s">
        <v>2809</v>
      </c>
      <c r="BV2127" t="s">
        <v>86</v>
      </c>
      <c r="BY2127">
        <v>9109.3799999999992</v>
      </c>
      <c r="BZ2127" t="s">
        <v>30</v>
      </c>
      <c r="CA2127" t="s">
        <v>2810</v>
      </c>
      <c r="CC2127" t="s">
        <v>149</v>
      </c>
      <c r="CD2127">
        <v>1832</v>
      </c>
      <c r="CE2127" t="s">
        <v>147</v>
      </c>
      <c r="CF2127" s="3">
        <v>45952</v>
      </c>
      <c r="CI2127">
        <v>0</v>
      </c>
      <c r="CJ2127">
        <v>0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"080068623896"</f>
        <v>080068623896</v>
      </c>
      <c r="F2128" s="3">
        <v>45950</v>
      </c>
      <c r="G2128">
        <v>202607</v>
      </c>
      <c r="H2128" t="s">
        <v>79</v>
      </c>
      <c r="I2128" t="s">
        <v>80</v>
      </c>
      <c r="J2128" t="s">
        <v>91</v>
      </c>
      <c r="K2128" t="s">
        <v>78</v>
      </c>
      <c r="L2128" t="s">
        <v>108</v>
      </c>
      <c r="M2128" t="s">
        <v>109</v>
      </c>
      <c r="N2128" t="s">
        <v>515</v>
      </c>
      <c r="O2128" t="s">
        <v>82</v>
      </c>
      <c r="P2128" t="str">
        <f>"4170065079                    "</f>
        <v xml:space="preserve">4170065079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22.36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70.959999999999994</v>
      </c>
      <c r="BM2128">
        <v>10.64</v>
      </c>
      <c r="BN2128">
        <v>81.599999999999994</v>
      </c>
      <c r="BO2128">
        <v>81.599999999999994</v>
      </c>
      <c r="BQ2128" t="s">
        <v>516</v>
      </c>
      <c r="BR2128" t="s">
        <v>97</v>
      </c>
      <c r="BS2128" s="3">
        <v>45951</v>
      </c>
      <c r="BT2128" s="4">
        <v>0.43541666666666667</v>
      </c>
      <c r="BU2128" t="s">
        <v>1350</v>
      </c>
      <c r="BV2128" t="s">
        <v>86</v>
      </c>
      <c r="BY2128">
        <v>1200</v>
      </c>
      <c r="CA2128" t="s">
        <v>113</v>
      </c>
      <c r="CC2128" t="s">
        <v>109</v>
      </c>
      <c r="CD2128">
        <v>6001</v>
      </c>
      <c r="CE2128" t="s">
        <v>147</v>
      </c>
      <c r="CF2128" s="3">
        <v>45951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"080068623922"</f>
        <v>080068623922</v>
      </c>
      <c r="F2129" s="3">
        <v>45950</v>
      </c>
      <c r="G2129">
        <v>202607</v>
      </c>
      <c r="H2129" t="s">
        <v>79</v>
      </c>
      <c r="I2129" t="s">
        <v>80</v>
      </c>
      <c r="J2129" t="s">
        <v>91</v>
      </c>
      <c r="K2129" t="s">
        <v>78</v>
      </c>
      <c r="L2129" t="s">
        <v>453</v>
      </c>
      <c r="M2129" t="s">
        <v>454</v>
      </c>
      <c r="N2129" t="s">
        <v>639</v>
      </c>
      <c r="O2129" t="s">
        <v>82</v>
      </c>
      <c r="P2129" t="str">
        <f>"4170065085                    "</f>
        <v xml:space="preserve">4170065085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150.80000000000001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6</v>
      </c>
      <c r="BJ2129">
        <v>13.4</v>
      </c>
      <c r="BK2129">
        <v>13.5</v>
      </c>
      <c r="BL2129">
        <v>478.62</v>
      </c>
      <c r="BM2129">
        <v>71.790000000000006</v>
      </c>
      <c r="BN2129">
        <v>550.41</v>
      </c>
      <c r="BO2129">
        <v>550.41</v>
      </c>
      <c r="BQ2129" t="s">
        <v>640</v>
      </c>
      <c r="BR2129" t="s">
        <v>97</v>
      </c>
      <c r="BS2129" s="3">
        <v>45951</v>
      </c>
      <c r="BT2129" s="4">
        <v>0.64652777777777781</v>
      </c>
      <c r="BU2129" t="s">
        <v>2620</v>
      </c>
      <c r="BV2129" t="s">
        <v>90</v>
      </c>
      <c r="BW2129" t="s">
        <v>136</v>
      </c>
      <c r="BX2129" t="s">
        <v>2248</v>
      </c>
      <c r="BY2129">
        <v>66960</v>
      </c>
      <c r="CA2129" t="s">
        <v>742</v>
      </c>
      <c r="CC2129" t="s">
        <v>454</v>
      </c>
      <c r="CD2129">
        <v>3610</v>
      </c>
      <c r="CE2129" t="s">
        <v>191</v>
      </c>
      <c r="CF2129" s="3">
        <v>45951</v>
      </c>
      <c r="CI2129">
        <v>1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"080068624166"</f>
        <v>080068624166</v>
      </c>
      <c r="F2130" s="3">
        <v>45950</v>
      </c>
      <c r="G2130">
        <v>202607</v>
      </c>
      <c r="H2130" t="s">
        <v>79</v>
      </c>
      <c r="I2130" t="s">
        <v>80</v>
      </c>
      <c r="J2130" t="s">
        <v>91</v>
      </c>
      <c r="K2130" t="s">
        <v>78</v>
      </c>
      <c r="L2130" t="s">
        <v>108</v>
      </c>
      <c r="M2130" t="s">
        <v>109</v>
      </c>
      <c r="N2130" t="s">
        <v>2811</v>
      </c>
      <c r="O2130" t="s">
        <v>82</v>
      </c>
      <c r="P2130" t="str">
        <f>"4170064917                    "</f>
        <v xml:space="preserve">4170064917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22.36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2</v>
      </c>
      <c r="BJ2130">
        <v>1.1000000000000001</v>
      </c>
      <c r="BK2130">
        <v>2</v>
      </c>
      <c r="BL2130">
        <v>70.959999999999994</v>
      </c>
      <c r="BM2130">
        <v>10.64</v>
      </c>
      <c r="BN2130">
        <v>81.599999999999994</v>
      </c>
      <c r="BO2130">
        <v>81.599999999999994</v>
      </c>
      <c r="BQ2130" t="s">
        <v>2812</v>
      </c>
      <c r="BR2130" t="s">
        <v>97</v>
      </c>
      <c r="BS2130" s="3">
        <v>45951</v>
      </c>
      <c r="BT2130" s="4">
        <v>0.37986111111111109</v>
      </c>
      <c r="BU2130" t="s">
        <v>2813</v>
      </c>
      <c r="BV2130" t="s">
        <v>86</v>
      </c>
      <c r="BY2130">
        <v>5510</v>
      </c>
      <c r="CA2130" t="s">
        <v>2814</v>
      </c>
      <c r="CC2130" t="s">
        <v>109</v>
      </c>
      <c r="CD2130">
        <v>6045</v>
      </c>
      <c r="CE2130" t="s">
        <v>191</v>
      </c>
      <c r="CF2130" s="3">
        <v>45951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"080068624466"</f>
        <v>080068624466</v>
      </c>
      <c r="F2131" s="3">
        <v>45950</v>
      </c>
      <c r="G2131">
        <v>202607</v>
      </c>
      <c r="H2131" t="s">
        <v>79</v>
      </c>
      <c r="I2131" t="s">
        <v>80</v>
      </c>
      <c r="J2131" t="s">
        <v>91</v>
      </c>
      <c r="K2131" t="s">
        <v>78</v>
      </c>
      <c r="L2131" t="s">
        <v>79</v>
      </c>
      <c r="M2131" t="s">
        <v>80</v>
      </c>
      <c r="N2131" t="s">
        <v>1499</v>
      </c>
      <c r="O2131" t="s">
        <v>82</v>
      </c>
      <c r="P2131" t="str">
        <f>"4170065090                    "</f>
        <v xml:space="preserve">4170065090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17.46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0.9</v>
      </c>
      <c r="BK2131">
        <v>2</v>
      </c>
      <c r="BL2131">
        <v>55.42</v>
      </c>
      <c r="BM2131">
        <v>8.31</v>
      </c>
      <c r="BN2131">
        <v>63.73</v>
      </c>
      <c r="BO2131">
        <v>63.73</v>
      </c>
      <c r="BQ2131" t="s">
        <v>1500</v>
      </c>
      <c r="BR2131" t="s">
        <v>97</v>
      </c>
      <c r="BS2131" s="3">
        <v>45951</v>
      </c>
      <c r="BT2131" s="4">
        <v>0.38680555555555557</v>
      </c>
      <c r="BU2131" t="s">
        <v>2020</v>
      </c>
      <c r="BV2131" t="s">
        <v>86</v>
      </c>
      <c r="BY2131">
        <v>4275</v>
      </c>
      <c r="CA2131" t="s">
        <v>1659</v>
      </c>
      <c r="CC2131" t="s">
        <v>80</v>
      </c>
      <c r="CD2131">
        <v>1614</v>
      </c>
      <c r="CE2131" t="s">
        <v>191</v>
      </c>
      <c r="CF2131" s="3">
        <v>45952</v>
      </c>
      <c r="CI2131">
        <v>1</v>
      </c>
      <c r="CJ2131">
        <v>1</v>
      </c>
      <c r="CK2131">
        <v>22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"080068624539"</f>
        <v>080068624539</v>
      </c>
      <c r="F2132" s="3">
        <v>45950</v>
      </c>
      <c r="G2132">
        <v>202607</v>
      </c>
      <c r="H2132" t="s">
        <v>79</v>
      </c>
      <c r="I2132" t="s">
        <v>80</v>
      </c>
      <c r="J2132" t="s">
        <v>91</v>
      </c>
      <c r="K2132" t="s">
        <v>78</v>
      </c>
      <c r="L2132" t="s">
        <v>605</v>
      </c>
      <c r="M2132" t="s">
        <v>606</v>
      </c>
      <c r="N2132" t="s">
        <v>2098</v>
      </c>
      <c r="O2132" t="s">
        <v>82</v>
      </c>
      <c r="P2132" t="str">
        <f>"4170065093                    "</f>
        <v xml:space="preserve">4170065093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43.31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0.6</v>
      </c>
      <c r="BJ2132">
        <v>1.5</v>
      </c>
      <c r="BK2132">
        <v>1.5</v>
      </c>
      <c r="BL2132">
        <v>137.47</v>
      </c>
      <c r="BM2132">
        <v>20.62</v>
      </c>
      <c r="BN2132">
        <v>158.09</v>
      </c>
      <c r="BO2132">
        <v>158.09</v>
      </c>
      <c r="BQ2132" t="s">
        <v>2099</v>
      </c>
      <c r="BR2132" t="s">
        <v>97</v>
      </c>
      <c r="BS2132" s="3">
        <v>45951</v>
      </c>
      <c r="BT2132" s="4">
        <v>0.34930555555555554</v>
      </c>
      <c r="BU2132" t="s">
        <v>1094</v>
      </c>
      <c r="BV2132" t="s">
        <v>86</v>
      </c>
      <c r="BY2132">
        <v>7392.88</v>
      </c>
      <c r="CA2132" t="s">
        <v>1143</v>
      </c>
      <c r="CC2132" t="s">
        <v>606</v>
      </c>
      <c r="CD2132">
        <v>1947</v>
      </c>
      <c r="CE2132" t="s">
        <v>147</v>
      </c>
      <c r="CF2132" s="3">
        <v>45952</v>
      </c>
      <c r="CI2132">
        <v>1</v>
      </c>
      <c r="CJ2132">
        <v>1</v>
      </c>
      <c r="CK2132">
        <v>23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"080068624587"</f>
        <v>080068624587</v>
      </c>
      <c r="F2133" s="3">
        <v>45950</v>
      </c>
      <c r="G2133">
        <v>202607</v>
      </c>
      <c r="H2133" t="s">
        <v>79</v>
      </c>
      <c r="I2133" t="s">
        <v>80</v>
      </c>
      <c r="J2133" t="s">
        <v>91</v>
      </c>
      <c r="K2133" t="s">
        <v>78</v>
      </c>
      <c r="L2133" t="s">
        <v>605</v>
      </c>
      <c r="M2133" t="s">
        <v>606</v>
      </c>
      <c r="N2133" t="s">
        <v>607</v>
      </c>
      <c r="O2133" t="s">
        <v>82</v>
      </c>
      <c r="P2133" t="str">
        <f>"4170065087                    "</f>
        <v xml:space="preserve">4170065087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43.31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137.47</v>
      </c>
      <c r="BM2133">
        <v>20.62</v>
      </c>
      <c r="BN2133">
        <v>158.09</v>
      </c>
      <c r="BO2133">
        <v>158.09</v>
      </c>
      <c r="BQ2133" t="s">
        <v>608</v>
      </c>
      <c r="BR2133" t="s">
        <v>97</v>
      </c>
      <c r="BS2133" s="3">
        <v>45951</v>
      </c>
      <c r="BT2133" s="4">
        <v>0.32708333333333334</v>
      </c>
      <c r="BU2133" t="s">
        <v>609</v>
      </c>
      <c r="BV2133" t="s">
        <v>86</v>
      </c>
      <c r="BY2133">
        <v>1200</v>
      </c>
      <c r="CA2133" t="s">
        <v>1143</v>
      </c>
      <c r="CC2133" t="s">
        <v>606</v>
      </c>
      <c r="CD2133">
        <v>1947</v>
      </c>
      <c r="CE2133" t="s">
        <v>147</v>
      </c>
      <c r="CF2133" s="3">
        <v>45952</v>
      </c>
      <c r="CI2133">
        <v>1</v>
      </c>
      <c r="CJ2133">
        <v>1</v>
      </c>
      <c r="CK2133">
        <v>23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"080068624635"</f>
        <v>080068624635</v>
      </c>
      <c r="F2134" s="3">
        <v>45950</v>
      </c>
      <c r="G2134">
        <v>202607</v>
      </c>
      <c r="H2134" t="s">
        <v>79</v>
      </c>
      <c r="I2134" t="s">
        <v>80</v>
      </c>
      <c r="J2134" t="s">
        <v>91</v>
      </c>
      <c r="K2134" t="s">
        <v>78</v>
      </c>
      <c r="L2134" t="s">
        <v>121</v>
      </c>
      <c r="M2134" t="s">
        <v>122</v>
      </c>
      <c r="N2134" t="s">
        <v>123</v>
      </c>
      <c r="O2134" t="s">
        <v>82</v>
      </c>
      <c r="P2134" t="str">
        <f>"4170065109                    "</f>
        <v xml:space="preserve">4170065109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22.36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70.959999999999994</v>
      </c>
      <c r="BM2134">
        <v>10.64</v>
      </c>
      <c r="BN2134">
        <v>81.599999999999994</v>
      </c>
      <c r="BO2134">
        <v>81.599999999999994</v>
      </c>
      <c r="BQ2134" t="s">
        <v>124</v>
      </c>
      <c r="BR2134" t="s">
        <v>97</v>
      </c>
      <c r="BS2134" s="3">
        <v>45951</v>
      </c>
      <c r="BT2134" s="4">
        <v>0.34236111111111112</v>
      </c>
      <c r="BU2134" t="s">
        <v>757</v>
      </c>
      <c r="BV2134" t="s">
        <v>86</v>
      </c>
      <c r="BY2134">
        <v>1200</v>
      </c>
      <c r="CA2134" t="s">
        <v>758</v>
      </c>
      <c r="CC2134" t="s">
        <v>122</v>
      </c>
      <c r="CD2134">
        <v>4000</v>
      </c>
      <c r="CE2134" t="s">
        <v>147</v>
      </c>
      <c r="CF2134" s="3">
        <v>45952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"080068624670"</f>
        <v>080068624670</v>
      </c>
      <c r="F2135" s="3">
        <v>45950</v>
      </c>
      <c r="G2135">
        <v>202607</v>
      </c>
      <c r="H2135" t="s">
        <v>79</v>
      </c>
      <c r="I2135" t="s">
        <v>80</v>
      </c>
      <c r="J2135" t="s">
        <v>91</v>
      </c>
      <c r="K2135" t="s">
        <v>78</v>
      </c>
      <c r="L2135" t="s">
        <v>1836</v>
      </c>
      <c r="M2135" t="s">
        <v>1837</v>
      </c>
      <c r="N2135" t="s">
        <v>1838</v>
      </c>
      <c r="O2135" t="s">
        <v>82</v>
      </c>
      <c r="P2135" t="str">
        <f>"4170065080                    "</f>
        <v xml:space="preserve">4170065080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43.31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137.47</v>
      </c>
      <c r="BM2135">
        <v>20.62</v>
      </c>
      <c r="BN2135">
        <v>158.09</v>
      </c>
      <c r="BO2135">
        <v>158.09</v>
      </c>
      <c r="BQ2135" t="s">
        <v>1839</v>
      </c>
      <c r="BR2135" t="s">
        <v>97</v>
      </c>
      <c r="BS2135" s="3">
        <v>45951</v>
      </c>
      <c r="BT2135" s="4">
        <v>0.66666666666666663</v>
      </c>
      <c r="BU2135" t="s">
        <v>2815</v>
      </c>
      <c r="BV2135" t="s">
        <v>90</v>
      </c>
      <c r="BW2135" t="s">
        <v>136</v>
      </c>
      <c r="BX2135" t="s">
        <v>1222</v>
      </c>
      <c r="BY2135">
        <v>1200</v>
      </c>
      <c r="CC2135" t="s">
        <v>1837</v>
      </c>
      <c r="CD2135">
        <v>4170</v>
      </c>
      <c r="CE2135" t="s">
        <v>147</v>
      </c>
      <c r="CF2135" s="3">
        <v>45952</v>
      </c>
      <c r="CI2135">
        <v>1</v>
      </c>
      <c r="CJ2135">
        <v>1</v>
      </c>
      <c r="CK2135">
        <v>23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"080068624695"</f>
        <v>080068624695</v>
      </c>
      <c r="F2136" s="3">
        <v>45950</v>
      </c>
      <c r="G2136">
        <v>202607</v>
      </c>
      <c r="H2136" t="s">
        <v>79</v>
      </c>
      <c r="I2136" t="s">
        <v>80</v>
      </c>
      <c r="J2136" t="s">
        <v>91</v>
      </c>
      <c r="K2136" t="s">
        <v>78</v>
      </c>
      <c r="L2136" t="s">
        <v>114</v>
      </c>
      <c r="M2136" t="s">
        <v>115</v>
      </c>
      <c r="N2136" t="s">
        <v>746</v>
      </c>
      <c r="O2136" t="s">
        <v>82</v>
      </c>
      <c r="P2136" t="str">
        <f>"4170065088                    "</f>
        <v xml:space="preserve">4170065088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22.36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70.959999999999994</v>
      </c>
      <c r="BM2136">
        <v>10.64</v>
      </c>
      <c r="BN2136">
        <v>81.599999999999994</v>
      </c>
      <c r="BO2136">
        <v>81.599999999999994</v>
      </c>
      <c r="BQ2136" t="s">
        <v>747</v>
      </c>
      <c r="BR2136" t="s">
        <v>97</v>
      </c>
      <c r="BS2136" s="3">
        <v>45951</v>
      </c>
      <c r="BT2136" s="4">
        <v>0.43611111111111112</v>
      </c>
      <c r="BU2136" t="s">
        <v>2770</v>
      </c>
      <c r="BV2136" t="s">
        <v>86</v>
      </c>
      <c r="BY2136">
        <v>1200</v>
      </c>
      <c r="CA2136" t="s">
        <v>749</v>
      </c>
      <c r="CC2136" t="s">
        <v>115</v>
      </c>
      <c r="CD2136">
        <v>5201</v>
      </c>
      <c r="CE2136" t="s">
        <v>147</v>
      </c>
      <c r="CF2136" s="3">
        <v>45951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"080068624705"</f>
        <v>080068624705</v>
      </c>
      <c r="F2137" s="3">
        <v>45950</v>
      </c>
      <c r="G2137">
        <v>202607</v>
      </c>
      <c r="H2137" t="s">
        <v>79</v>
      </c>
      <c r="I2137" t="s">
        <v>80</v>
      </c>
      <c r="J2137" t="s">
        <v>91</v>
      </c>
      <c r="K2137" t="s">
        <v>78</v>
      </c>
      <c r="L2137" t="s">
        <v>79</v>
      </c>
      <c r="M2137" t="s">
        <v>80</v>
      </c>
      <c r="N2137" t="s">
        <v>2816</v>
      </c>
      <c r="O2137" t="s">
        <v>82</v>
      </c>
      <c r="P2137" t="str">
        <f>"4170065108                    "</f>
        <v xml:space="preserve">4170065108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17.46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55.42</v>
      </c>
      <c r="BM2137">
        <v>8.31</v>
      </c>
      <c r="BN2137">
        <v>63.73</v>
      </c>
      <c r="BO2137">
        <v>63.73</v>
      </c>
      <c r="BQ2137" t="s">
        <v>2817</v>
      </c>
      <c r="BR2137" t="s">
        <v>97</v>
      </c>
      <c r="BS2137" s="3">
        <v>45951</v>
      </c>
      <c r="BT2137" s="4">
        <v>0.30555555555555558</v>
      </c>
      <c r="BU2137" t="s">
        <v>1662</v>
      </c>
      <c r="BV2137" t="s">
        <v>86</v>
      </c>
      <c r="BY2137">
        <v>1200</v>
      </c>
      <c r="CA2137" t="s">
        <v>166</v>
      </c>
      <c r="CC2137" t="s">
        <v>80</v>
      </c>
      <c r="CD2137">
        <v>1600</v>
      </c>
      <c r="CE2137" t="s">
        <v>147</v>
      </c>
      <c r="CF2137" s="3">
        <v>45952</v>
      </c>
      <c r="CI2137">
        <v>1</v>
      </c>
      <c r="CJ2137">
        <v>1</v>
      </c>
      <c r="CK2137">
        <v>22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"080068624731"</f>
        <v>080068624731</v>
      </c>
      <c r="F2138" s="3">
        <v>45950</v>
      </c>
      <c r="G2138">
        <v>202607</v>
      </c>
      <c r="H2138" t="s">
        <v>79</v>
      </c>
      <c r="I2138" t="s">
        <v>80</v>
      </c>
      <c r="J2138" t="s">
        <v>91</v>
      </c>
      <c r="K2138" t="s">
        <v>78</v>
      </c>
      <c r="L2138" t="s">
        <v>206</v>
      </c>
      <c r="M2138" t="s">
        <v>207</v>
      </c>
      <c r="N2138" t="s">
        <v>2818</v>
      </c>
      <c r="O2138" t="s">
        <v>82</v>
      </c>
      <c r="P2138" t="str">
        <f>"4170065043                    "</f>
        <v xml:space="preserve">4170065043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22.36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70.959999999999994</v>
      </c>
      <c r="BM2138">
        <v>10.64</v>
      </c>
      <c r="BN2138">
        <v>81.599999999999994</v>
      </c>
      <c r="BO2138">
        <v>81.599999999999994</v>
      </c>
      <c r="BQ2138" t="s">
        <v>2819</v>
      </c>
      <c r="BR2138" t="s">
        <v>97</v>
      </c>
      <c r="BS2138" s="3">
        <v>45951</v>
      </c>
      <c r="BT2138" s="4">
        <v>0.38333333333333336</v>
      </c>
      <c r="BU2138" t="s">
        <v>2820</v>
      </c>
      <c r="BV2138" t="s">
        <v>86</v>
      </c>
      <c r="BY2138">
        <v>1200</v>
      </c>
      <c r="CA2138" t="s">
        <v>2792</v>
      </c>
      <c r="CC2138" t="s">
        <v>207</v>
      </c>
      <c r="CD2138">
        <v>7945</v>
      </c>
      <c r="CE2138" t="s">
        <v>147</v>
      </c>
      <c r="CF2138" s="3">
        <v>45952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"080068624733"</f>
        <v>080068624733</v>
      </c>
      <c r="F2139" s="3">
        <v>45950</v>
      </c>
      <c r="G2139">
        <v>202607</v>
      </c>
      <c r="H2139" t="s">
        <v>79</v>
      </c>
      <c r="I2139" t="s">
        <v>80</v>
      </c>
      <c r="J2139" t="s">
        <v>91</v>
      </c>
      <c r="K2139" t="s">
        <v>78</v>
      </c>
      <c r="L2139" t="s">
        <v>206</v>
      </c>
      <c r="M2139" t="s">
        <v>207</v>
      </c>
      <c r="N2139" t="s">
        <v>208</v>
      </c>
      <c r="O2139" t="s">
        <v>82</v>
      </c>
      <c r="P2139" t="str">
        <f>"4170065101                    "</f>
        <v xml:space="preserve">4170065101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22.36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70.959999999999994</v>
      </c>
      <c r="BM2139">
        <v>10.64</v>
      </c>
      <c r="BN2139">
        <v>81.599999999999994</v>
      </c>
      <c r="BO2139">
        <v>81.599999999999994</v>
      </c>
      <c r="BQ2139" t="s">
        <v>209</v>
      </c>
      <c r="BR2139" t="s">
        <v>97</v>
      </c>
      <c r="BS2139" s="3">
        <v>45951</v>
      </c>
      <c r="BT2139" s="4">
        <v>0.38124999999999998</v>
      </c>
      <c r="BU2139" t="s">
        <v>1732</v>
      </c>
      <c r="BV2139" t="s">
        <v>86</v>
      </c>
      <c r="BY2139">
        <v>1200</v>
      </c>
      <c r="CA2139" t="s">
        <v>211</v>
      </c>
      <c r="CC2139" t="s">
        <v>207</v>
      </c>
      <c r="CD2139">
        <v>7441</v>
      </c>
      <c r="CE2139" t="s">
        <v>147</v>
      </c>
      <c r="CF2139" s="3">
        <v>45952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"080068624754"</f>
        <v>080068624754</v>
      </c>
      <c r="F2140" s="3">
        <v>45950</v>
      </c>
      <c r="G2140">
        <v>202607</v>
      </c>
      <c r="H2140" t="s">
        <v>79</v>
      </c>
      <c r="I2140" t="s">
        <v>80</v>
      </c>
      <c r="J2140" t="s">
        <v>91</v>
      </c>
      <c r="K2140" t="s">
        <v>78</v>
      </c>
      <c r="L2140" t="s">
        <v>121</v>
      </c>
      <c r="M2140" t="s">
        <v>122</v>
      </c>
      <c r="N2140" t="s">
        <v>154</v>
      </c>
      <c r="O2140" t="s">
        <v>82</v>
      </c>
      <c r="P2140" t="str">
        <f>"4170065097                    "</f>
        <v xml:space="preserve">4170065097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22.36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70.959999999999994</v>
      </c>
      <c r="BM2140">
        <v>10.64</v>
      </c>
      <c r="BN2140">
        <v>81.599999999999994</v>
      </c>
      <c r="BO2140">
        <v>81.599999999999994</v>
      </c>
      <c r="BQ2140" t="s">
        <v>155</v>
      </c>
      <c r="BR2140" t="s">
        <v>97</v>
      </c>
      <c r="BS2140" s="3">
        <v>45951</v>
      </c>
      <c r="BT2140" s="4">
        <v>0.49583333333333335</v>
      </c>
      <c r="BU2140" t="s">
        <v>1271</v>
      </c>
      <c r="BV2140" t="s">
        <v>90</v>
      </c>
      <c r="BY2140">
        <v>1200</v>
      </c>
      <c r="CA2140" t="s">
        <v>157</v>
      </c>
      <c r="CC2140" t="s">
        <v>122</v>
      </c>
      <c r="CD2140">
        <v>4052</v>
      </c>
      <c r="CE2140" t="s">
        <v>147</v>
      </c>
      <c r="CF2140" s="3">
        <v>45951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"080068624755"</f>
        <v>080068624755</v>
      </c>
      <c r="F2141" s="3">
        <v>45950</v>
      </c>
      <c r="G2141">
        <v>202607</v>
      </c>
      <c r="H2141" t="s">
        <v>79</v>
      </c>
      <c r="I2141" t="s">
        <v>80</v>
      </c>
      <c r="J2141" t="s">
        <v>91</v>
      </c>
      <c r="K2141" t="s">
        <v>78</v>
      </c>
      <c r="L2141" t="s">
        <v>92</v>
      </c>
      <c r="M2141" t="s">
        <v>93</v>
      </c>
      <c r="N2141" t="s">
        <v>2821</v>
      </c>
      <c r="O2141" t="s">
        <v>82</v>
      </c>
      <c r="P2141" t="str">
        <f>"4170064825                    "</f>
        <v xml:space="preserve">4170064825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22.36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16.739999999999998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87.7</v>
      </c>
      <c r="BM2141">
        <v>13.16</v>
      </c>
      <c r="BN2141">
        <v>100.86</v>
      </c>
      <c r="BO2141">
        <v>100.86</v>
      </c>
      <c r="BQ2141" t="s">
        <v>2822</v>
      </c>
      <c r="BR2141" t="s">
        <v>97</v>
      </c>
      <c r="BS2141" s="3">
        <v>45951</v>
      </c>
      <c r="BT2141" s="4">
        <v>0.70833333333333337</v>
      </c>
      <c r="BU2141" t="s">
        <v>2823</v>
      </c>
      <c r="BV2141" t="s">
        <v>86</v>
      </c>
      <c r="BY2141">
        <v>1200</v>
      </c>
      <c r="BZ2141" t="s">
        <v>30</v>
      </c>
      <c r="CA2141" t="s">
        <v>1699</v>
      </c>
      <c r="CC2141" t="s">
        <v>93</v>
      </c>
      <c r="CD2141">
        <v>3699</v>
      </c>
      <c r="CE2141" t="s">
        <v>147</v>
      </c>
      <c r="CF2141" s="3">
        <v>45952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"080068624785"</f>
        <v>080068624785</v>
      </c>
      <c r="F2142" s="3">
        <v>45950</v>
      </c>
      <c r="G2142">
        <v>202607</v>
      </c>
      <c r="H2142" t="s">
        <v>79</v>
      </c>
      <c r="I2142" t="s">
        <v>80</v>
      </c>
      <c r="J2142" t="s">
        <v>91</v>
      </c>
      <c r="K2142" t="s">
        <v>78</v>
      </c>
      <c r="L2142" t="s">
        <v>788</v>
      </c>
      <c r="M2142" t="s">
        <v>789</v>
      </c>
      <c r="N2142" t="s">
        <v>790</v>
      </c>
      <c r="O2142" t="s">
        <v>82</v>
      </c>
      <c r="P2142" t="str">
        <f>"4170064871                    "</f>
        <v xml:space="preserve">4170064871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43.31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137.47</v>
      </c>
      <c r="BM2142">
        <v>20.62</v>
      </c>
      <c r="BN2142">
        <v>158.09</v>
      </c>
      <c r="BO2142">
        <v>158.09</v>
      </c>
      <c r="BQ2142" t="s">
        <v>791</v>
      </c>
      <c r="BR2142" t="s">
        <v>97</v>
      </c>
      <c r="BS2142" s="3">
        <v>45951</v>
      </c>
      <c r="BT2142" s="4">
        <v>0.41319444444444442</v>
      </c>
      <c r="BU2142" t="s">
        <v>2824</v>
      </c>
      <c r="BV2142" t="s">
        <v>86</v>
      </c>
      <c r="BY2142">
        <v>1200</v>
      </c>
      <c r="CA2142" t="s">
        <v>793</v>
      </c>
      <c r="CC2142" t="s">
        <v>789</v>
      </c>
      <c r="CD2142">
        <v>3290</v>
      </c>
      <c r="CE2142" t="s">
        <v>147</v>
      </c>
      <c r="CF2142" s="3">
        <v>45952</v>
      </c>
      <c r="CI2142">
        <v>1</v>
      </c>
      <c r="CJ2142">
        <v>1</v>
      </c>
      <c r="CK2142">
        <v>23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"080068624794"</f>
        <v>080068624794</v>
      </c>
      <c r="F2143" s="3">
        <v>45950</v>
      </c>
      <c r="G2143">
        <v>202607</v>
      </c>
      <c r="H2143" t="s">
        <v>79</v>
      </c>
      <c r="I2143" t="s">
        <v>80</v>
      </c>
      <c r="J2143" t="s">
        <v>91</v>
      </c>
      <c r="K2143" t="s">
        <v>78</v>
      </c>
      <c r="L2143" t="s">
        <v>884</v>
      </c>
      <c r="M2143" t="s">
        <v>885</v>
      </c>
      <c r="N2143" t="s">
        <v>886</v>
      </c>
      <c r="O2143" t="s">
        <v>82</v>
      </c>
      <c r="P2143" t="str">
        <f>"4170064920                    "</f>
        <v xml:space="preserve">4170064920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43.31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137.47</v>
      </c>
      <c r="BM2143">
        <v>20.62</v>
      </c>
      <c r="BN2143">
        <v>158.09</v>
      </c>
      <c r="BO2143">
        <v>158.09</v>
      </c>
      <c r="BQ2143" t="s">
        <v>887</v>
      </c>
      <c r="BR2143" t="s">
        <v>97</v>
      </c>
      <c r="BS2143" s="3">
        <v>45951</v>
      </c>
      <c r="BT2143" s="4">
        <v>0.29166666666666669</v>
      </c>
      <c r="BU2143" t="s">
        <v>888</v>
      </c>
      <c r="BV2143" t="s">
        <v>86</v>
      </c>
      <c r="BY2143">
        <v>1200</v>
      </c>
      <c r="CC2143" t="s">
        <v>885</v>
      </c>
      <c r="CD2143">
        <v>2740</v>
      </c>
      <c r="CE2143" t="s">
        <v>147</v>
      </c>
      <c r="CF2143" s="3">
        <v>45952</v>
      </c>
      <c r="CI2143">
        <v>1</v>
      </c>
      <c r="CJ2143">
        <v>1</v>
      </c>
      <c r="CK2143">
        <v>23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"080068624822"</f>
        <v>080068624822</v>
      </c>
      <c r="F2144" s="3">
        <v>45950</v>
      </c>
      <c r="G2144">
        <v>202607</v>
      </c>
      <c r="H2144" t="s">
        <v>79</v>
      </c>
      <c r="I2144" t="s">
        <v>80</v>
      </c>
      <c r="J2144" t="s">
        <v>91</v>
      </c>
      <c r="K2144" t="s">
        <v>78</v>
      </c>
      <c r="L2144" t="s">
        <v>265</v>
      </c>
      <c r="M2144" t="s">
        <v>266</v>
      </c>
      <c r="N2144" t="s">
        <v>536</v>
      </c>
      <c r="O2144" t="s">
        <v>82</v>
      </c>
      <c r="P2144" t="str">
        <f>"4170065066                    "</f>
        <v xml:space="preserve">4170065066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22.36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70.959999999999994</v>
      </c>
      <c r="BM2144">
        <v>10.64</v>
      </c>
      <c r="BN2144">
        <v>81.599999999999994</v>
      </c>
      <c r="BO2144">
        <v>81.599999999999994</v>
      </c>
      <c r="BQ2144" t="s">
        <v>537</v>
      </c>
      <c r="BR2144" t="s">
        <v>97</v>
      </c>
      <c r="BS2144" s="3">
        <v>45951</v>
      </c>
      <c r="BT2144" s="4">
        <v>0.33333333333333331</v>
      </c>
      <c r="BU2144" t="s">
        <v>817</v>
      </c>
      <c r="BV2144" t="s">
        <v>86</v>
      </c>
      <c r="BY2144">
        <v>1200</v>
      </c>
      <c r="CA2144" t="s">
        <v>818</v>
      </c>
      <c r="CC2144" t="s">
        <v>266</v>
      </c>
      <c r="CD2144">
        <v>6230</v>
      </c>
      <c r="CE2144" t="s">
        <v>147</v>
      </c>
      <c r="CF2144" s="3">
        <v>45951</v>
      </c>
      <c r="CI2144">
        <v>1</v>
      </c>
      <c r="CJ2144">
        <v>1</v>
      </c>
      <c r="CK2144">
        <v>21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"080068624832"</f>
        <v>080068624832</v>
      </c>
      <c r="F2145" s="3">
        <v>45950</v>
      </c>
      <c r="G2145">
        <v>202607</v>
      </c>
      <c r="H2145" t="s">
        <v>79</v>
      </c>
      <c r="I2145" t="s">
        <v>80</v>
      </c>
      <c r="J2145" t="s">
        <v>91</v>
      </c>
      <c r="K2145" t="s">
        <v>78</v>
      </c>
      <c r="L2145" t="s">
        <v>114</v>
      </c>
      <c r="M2145" t="s">
        <v>115</v>
      </c>
      <c r="N2145" t="s">
        <v>746</v>
      </c>
      <c r="O2145" t="s">
        <v>82</v>
      </c>
      <c r="P2145" t="str">
        <f>"4170064847                    "</f>
        <v xml:space="preserve">4170064847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22.36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70.959999999999994</v>
      </c>
      <c r="BM2145">
        <v>10.64</v>
      </c>
      <c r="BN2145">
        <v>81.599999999999994</v>
      </c>
      <c r="BO2145">
        <v>81.599999999999994</v>
      </c>
      <c r="BQ2145" t="s">
        <v>747</v>
      </c>
      <c r="BR2145" t="s">
        <v>97</v>
      </c>
      <c r="BS2145" s="3">
        <v>45951</v>
      </c>
      <c r="BT2145" s="4">
        <v>0.43611111111111112</v>
      </c>
      <c r="BU2145" t="s">
        <v>2825</v>
      </c>
      <c r="BV2145" t="s">
        <v>86</v>
      </c>
      <c r="BY2145">
        <v>1200</v>
      </c>
      <c r="CA2145" t="s">
        <v>749</v>
      </c>
      <c r="CC2145" t="s">
        <v>115</v>
      </c>
      <c r="CD2145">
        <v>5200</v>
      </c>
      <c r="CE2145" t="s">
        <v>147</v>
      </c>
      <c r="CF2145" s="3">
        <v>45951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"080068624837"</f>
        <v>080068624837</v>
      </c>
      <c r="F2146" s="3">
        <v>45950</v>
      </c>
      <c r="G2146">
        <v>202607</v>
      </c>
      <c r="H2146" t="s">
        <v>79</v>
      </c>
      <c r="I2146" t="s">
        <v>80</v>
      </c>
      <c r="J2146" t="s">
        <v>91</v>
      </c>
      <c r="K2146" t="s">
        <v>78</v>
      </c>
      <c r="L2146" t="s">
        <v>446</v>
      </c>
      <c r="M2146" t="s">
        <v>447</v>
      </c>
      <c r="N2146" t="s">
        <v>448</v>
      </c>
      <c r="O2146" t="s">
        <v>82</v>
      </c>
      <c r="P2146" t="str">
        <f>"4170064940                    "</f>
        <v xml:space="preserve">4170064940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43.31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137.47</v>
      </c>
      <c r="BM2146">
        <v>20.62</v>
      </c>
      <c r="BN2146">
        <v>158.09</v>
      </c>
      <c r="BO2146">
        <v>158.09</v>
      </c>
      <c r="BQ2146" t="s">
        <v>449</v>
      </c>
      <c r="BR2146" t="s">
        <v>97</v>
      </c>
      <c r="BS2146" s="3">
        <v>45951</v>
      </c>
      <c r="BT2146" s="4">
        <v>0.44374999999999998</v>
      </c>
      <c r="BU2146" t="s">
        <v>450</v>
      </c>
      <c r="BV2146" t="s">
        <v>86</v>
      </c>
      <c r="BY2146">
        <v>1200</v>
      </c>
      <c r="CA2146" t="s">
        <v>1124</v>
      </c>
      <c r="CC2146" t="s">
        <v>447</v>
      </c>
      <c r="CD2146">
        <v>7130</v>
      </c>
      <c r="CE2146" t="s">
        <v>147</v>
      </c>
      <c r="CF2146" s="3">
        <v>45952</v>
      </c>
      <c r="CI2146">
        <v>1</v>
      </c>
      <c r="CJ2146">
        <v>1</v>
      </c>
      <c r="CK2146">
        <v>23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"080068624846"</f>
        <v>080068624846</v>
      </c>
      <c r="F2147" s="3">
        <v>45950</v>
      </c>
      <c r="G2147">
        <v>202607</v>
      </c>
      <c r="H2147" t="s">
        <v>79</v>
      </c>
      <c r="I2147" t="s">
        <v>80</v>
      </c>
      <c r="J2147" t="s">
        <v>91</v>
      </c>
      <c r="K2147" t="s">
        <v>78</v>
      </c>
      <c r="L2147" t="s">
        <v>108</v>
      </c>
      <c r="M2147" t="s">
        <v>109</v>
      </c>
      <c r="N2147" t="s">
        <v>229</v>
      </c>
      <c r="O2147" t="s">
        <v>82</v>
      </c>
      <c r="P2147" t="str">
        <f>"4170064851                    "</f>
        <v xml:space="preserve">4170064851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22.36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70.959999999999994</v>
      </c>
      <c r="BM2147">
        <v>10.64</v>
      </c>
      <c r="BN2147">
        <v>81.599999999999994</v>
      </c>
      <c r="BO2147">
        <v>81.599999999999994</v>
      </c>
      <c r="BQ2147" t="s">
        <v>230</v>
      </c>
      <c r="BR2147" t="s">
        <v>97</v>
      </c>
      <c r="BS2147" s="3">
        <v>45951</v>
      </c>
      <c r="BT2147" s="4">
        <v>0.38333333333333336</v>
      </c>
      <c r="BU2147" t="s">
        <v>2826</v>
      </c>
      <c r="BV2147" t="s">
        <v>86</v>
      </c>
      <c r="BY2147">
        <v>1200</v>
      </c>
      <c r="CA2147" t="s">
        <v>232</v>
      </c>
      <c r="CC2147" t="s">
        <v>109</v>
      </c>
      <c r="CD2147">
        <v>6001</v>
      </c>
      <c r="CE2147" t="s">
        <v>147</v>
      </c>
      <c r="CF2147" s="3">
        <v>45951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"080068624863"</f>
        <v>080068624863</v>
      </c>
      <c r="F2148" s="3">
        <v>45950</v>
      </c>
      <c r="G2148">
        <v>202607</v>
      </c>
      <c r="H2148" t="s">
        <v>79</v>
      </c>
      <c r="I2148" t="s">
        <v>80</v>
      </c>
      <c r="J2148" t="s">
        <v>91</v>
      </c>
      <c r="K2148" t="s">
        <v>78</v>
      </c>
      <c r="L2148" t="s">
        <v>333</v>
      </c>
      <c r="M2148" t="s">
        <v>334</v>
      </c>
      <c r="N2148" t="s">
        <v>1388</v>
      </c>
      <c r="O2148" t="s">
        <v>82</v>
      </c>
      <c r="P2148" t="str">
        <f>"4170064921                    "</f>
        <v xml:space="preserve">4170064921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22.36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70.959999999999994</v>
      </c>
      <c r="BM2148">
        <v>10.64</v>
      </c>
      <c r="BN2148">
        <v>81.599999999999994</v>
      </c>
      <c r="BO2148">
        <v>81.599999999999994</v>
      </c>
      <c r="BQ2148" t="s">
        <v>1389</v>
      </c>
      <c r="BR2148" t="s">
        <v>97</v>
      </c>
      <c r="BS2148" s="3">
        <v>45951</v>
      </c>
      <c r="BT2148" s="4">
        <v>0.3840277777777778</v>
      </c>
      <c r="BU2148" t="s">
        <v>1390</v>
      </c>
      <c r="BV2148" t="s">
        <v>86</v>
      </c>
      <c r="BY2148">
        <v>1200</v>
      </c>
      <c r="CA2148" t="s">
        <v>142</v>
      </c>
      <c r="CC2148" t="s">
        <v>334</v>
      </c>
      <c r="CD2148">
        <v>6220</v>
      </c>
      <c r="CE2148" t="s">
        <v>147</v>
      </c>
      <c r="CF2148" s="3">
        <v>45951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"080068624891"</f>
        <v>080068624891</v>
      </c>
      <c r="F2149" s="3">
        <v>45950</v>
      </c>
      <c r="G2149">
        <v>202607</v>
      </c>
      <c r="H2149" t="s">
        <v>79</v>
      </c>
      <c r="I2149" t="s">
        <v>80</v>
      </c>
      <c r="J2149" t="s">
        <v>91</v>
      </c>
      <c r="K2149" t="s">
        <v>78</v>
      </c>
      <c r="L2149" t="s">
        <v>148</v>
      </c>
      <c r="M2149" t="s">
        <v>149</v>
      </c>
      <c r="N2149" t="s">
        <v>2050</v>
      </c>
      <c r="O2149" t="s">
        <v>95</v>
      </c>
      <c r="P2149" t="str">
        <f>"4170065089                    "</f>
        <v xml:space="preserve">4170065089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33.36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3.9</v>
      </c>
      <c r="BJ2149">
        <v>2.5</v>
      </c>
      <c r="BK2149">
        <v>4</v>
      </c>
      <c r="BL2149">
        <v>111.75</v>
      </c>
      <c r="BM2149">
        <v>16.760000000000002</v>
      </c>
      <c r="BN2149">
        <v>128.51</v>
      </c>
      <c r="BO2149">
        <v>128.51</v>
      </c>
      <c r="BQ2149" t="s">
        <v>2051</v>
      </c>
      <c r="BR2149" t="s">
        <v>97</v>
      </c>
      <c r="BS2149" s="3">
        <v>45951</v>
      </c>
      <c r="BT2149" s="4">
        <v>0.3888888888888889</v>
      </c>
      <c r="BU2149" t="s">
        <v>2827</v>
      </c>
      <c r="BV2149" t="s">
        <v>86</v>
      </c>
      <c r="BY2149">
        <v>12552.54</v>
      </c>
      <c r="CC2149" t="s">
        <v>149</v>
      </c>
      <c r="CD2149">
        <v>2197</v>
      </c>
      <c r="CE2149" t="s">
        <v>931</v>
      </c>
      <c r="CF2149" s="3">
        <v>45951</v>
      </c>
      <c r="CI2149">
        <v>1</v>
      </c>
      <c r="CJ2149">
        <v>1</v>
      </c>
      <c r="CK2149">
        <v>42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"080068624969"</f>
        <v>080068624969</v>
      </c>
      <c r="F2150" s="3">
        <v>45950</v>
      </c>
      <c r="G2150">
        <v>202607</v>
      </c>
      <c r="H2150" t="s">
        <v>79</v>
      </c>
      <c r="I2150" t="s">
        <v>80</v>
      </c>
      <c r="J2150" t="s">
        <v>91</v>
      </c>
      <c r="K2150" t="s">
        <v>78</v>
      </c>
      <c r="L2150" t="s">
        <v>108</v>
      </c>
      <c r="M2150" t="s">
        <v>109</v>
      </c>
      <c r="N2150" t="s">
        <v>1567</v>
      </c>
      <c r="O2150" t="s">
        <v>82</v>
      </c>
      <c r="P2150" t="str">
        <f>"4170065100                    "</f>
        <v xml:space="preserve">4170065100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22.36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2</v>
      </c>
      <c r="BJ2150">
        <v>1.4</v>
      </c>
      <c r="BK2150">
        <v>2</v>
      </c>
      <c r="BL2150">
        <v>70.959999999999994</v>
      </c>
      <c r="BM2150">
        <v>10.64</v>
      </c>
      <c r="BN2150">
        <v>81.599999999999994</v>
      </c>
      <c r="BO2150">
        <v>81.599999999999994</v>
      </c>
      <c r="BQ2150" t="s">
        <v>1568</v>
      </c>
      <c r="BR2150" t="s">
        <v>97</v>
      </c>
      <c r="BS2150" s="3">
        <v>45951</v>
      </c>
      <c r="BT2150" s="4">
        <v>0.41041666666666665</v>
      </c>
      <c r="BU2150" t="s">
        <v>2759</v>
      </c>
      <c r="BV2150" t="s">
        <v>86</v>
      </c>
      <c r="BY2150">
        <v>7000</v>
      </c>
      <c r="CA2150" t="s">
        <v>113</v>
      </c>
      <c r="CC2150" t="s">
        <v>109</v>
      </c>
      <c r="CD2150">
        <v>6000</v>
      </c>
      <c r="CE2150" t="s">
        <v>191</v>
      </c>
      <c r="CF2150" s="3">
        <v>45951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"080068625010"</f>
        <v>080068625010</v>
      </c>
      <c r="F2151" s="3">
        <v>45950</v>
      </c>
      <c r="G2151">
        <v>202607</v>
      </c>
      <c r="H2151" t="s">
        <v>79</v>
      </c>
      <c r="I2151" t="s">
        <v>80</v>
      </c>
      <c r="J2151" t="s">
        <v>91</v>
      </c>
      <c r="K2151" t="s">
        <v>78</v>
      </c>
      <c r="L2151" t="s">
        <v>763</v>
      </c>
      <c r="M2151" t="s">
        <v>764</v>
      </c>
      <c r="N2151" t="s">
        <v>765</v>
      </c>
      <c r="O2151" t="s">
        <v>82</v>
      </c>
      <c r="P2151" t="str">
        <f>"4170065112                    "</f>
        <v xml:space="preserve">4170065112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43.31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</v>
      </c>
      <c r="BJ2151">
        <v>1.1000000000000001</v>
      </c>
      <c r="BK2151">
        <v>2</v>
      </c>
      <c r="BL2151">
        <v>137.47</v>
      </c>
      <c r="BM2151">
        <v>20.62</v>
      </c>
      <c r="BN2151">
        <v>158.09</v>
      </c>
      <c r="BO2151">
        <v>158.09</v>
      </c>
      <c r="BQ2151" t="s">
        <v>766</v>
      </c>
      <c r="BR2151" t="s">
        <v>97</v>
      </c>
      <c r="BS2151" s="3">
        <v>45951</v>
      </c>
      <c r="BT2151" s="4">
        <v>0.44444444444444442</v>
      </c>
      <c r="BU2151" t="s">
        <v>2828</v>
      </c>
      <c r="BV2151" t="s">
        <v>86</v>
      </c>
      <c r="BY2151">
        <v>5510</v>
      </c>
      <c r="CA2151" t="s">
        <v>2829</v>
      </c>
      <c r="CC2151" t="s">
        <v>764</v>
      </c>
      <c r="CD2151">
        <v>2531</v>
      </c>
      <c r="CE2151" t="s">
        <v>191</v>
      </c>
      <c r="CF2151" s="3">
        <v>45952</v>
      </c>
      <c r="CI2151">
        <v>1</v>
      </c>
      <c r="CJ2151">
        <v>1</v>
      </c>
      <c r="CK2151">
        <v>23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"080068625056"</f>
        <v>080068625056</v>
      </c>
      <c r="F2152" s="3">
        <v>45950</v>
      </c>
      <c r="G2152">
        <v>202607</v>
      </c>
      <c r="H2152" t="s">
        <v>79</v>
      </c>
      <c r="I2152" t="s">
        <v>80</v>
      </c>
      <c r="J2152" t="s">
        <v>91</v>
      </c>
      <c r="K2152" t="s">
        <v>78</v>
      </c>
      <c r="L2152" t="s">
        <v>265</v>
      </c>
      <c r="M2152" t="s">
        <v>266</v>
      </c>
      <c r="N2152" t="s">
        <v>721</v>
      </c>
      <c r="O2152" t="s">
        <v>82</v>
      </c>
      <c r="P2152" t="str">
        <f>"4170064831                    "</f>
        <v xml:space="preserve">4170064831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33.520000000000003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2.8</v>
      </c>
      <c r="BJ2152">
        <v>1.7</v>
      </c>
      <c r="BK2152">
        <v>3</v>
      </c>
      <c r="BL2152">
        <v>106.4</v>
      </c>
      <c r="BM2152">
        <v>15.96</v>
      </c>
      <c r="BN2152">
        <v>122.36</v>
      </c>
      <c r="BO2152">
        <v>122.36</v>
      </c>
      <c r="BQ2152" t="s">
        <v>722</v>
      </c>
      <c r="BR2152" t="s">
        <v>97</v>
      </c>
      <c r="BS2152" s="3">
        <v>45951</v>
      </c>
      <c r="BT2152" s="4">
        <v>0.34027777777777779</v>
      </c>
      <c r="BU2152" t="s">
        <v>723</v>
      </c>
      <c r="BV2152" t="s">
        <v>86</v>
      </c>
      <c r="BY2152">
        <v>8651.33</v>
      </c>
      <c r="CA2152" t="s">
        <v>818</v>
      </c>
      <c r="CC2152" t="s">
        <v>266</v>
      </c>
      <c r="CD2152">
        <v>6229</v>
      </c>
      <c r="CE2152" t="s">
        <v>191</v>
      </c>
      <c r="CF2152" s="3">
        <v>45951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"080068625308"</f>
        <v>080068625308</v>
      </c>
      <c r="F2153" s="3">
        <v>45950</v>
      </c>
      <c r="G2153">
        <v>202607</v>
      </c>
      <c r="H2153" t="s">
        <v>79</v>
      </c>
      <c r="I2153" t="s">
        <v>80</v>
      </c>
      <c r="J2153" t="s">
        <v>91</v>
      </c>
      <c r="K2153" t="s">
        <v>78</v>
      </c>
      <c r="L2153" t="s">
        <v>108</v>
      </c>
      <c r="M2153" t="s">
        <v>109</v>
      </c>
      <c r="N2153" t="s">
        <v>291</v>
      </c>
      <c r="O2153" t="s">
        <v>82</v>
      </c>
      <c r="P2153" t="str">
        <f>"4170064832                    "</f>
        <v xml:space="preserve">4170064832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50.28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4.5</v>
      </c>
      <c r="BJ2153">
        <v>1.8</v>
      </c>
      <c r="BK2153">
        <v>4.5</v>
      </c>
      <c r="BL2153">
        <v>159.58000000000001</v>
      </c>
      <c r="BM2153">
        <v>23.94</v>
      </c>
      <c r="BN2153">
        <v>183.52</v>
      </c>
      <c r="BO2153">
        <v>183.52</v>
      </c>
      <c r="BQ2153" t="s">
        <v>292</v>
      </c>
      <c r="BR2153" t="s">
        <v>97</v>
      </c>
      <c r="BS2153" s="3">
        <v>45951</v>
      </c>
      <c r="BT2153" s="4">
        <v>0.34930555555555554</v>
      </c>
      <c r="BU2153" t="s">
        <v>2778</v>
      </c>
      <c r="BV2153" t="s">
        <v>86</v>
      </c>
      <c r="BY2153">
        <v>8892</v>
      </c>
      <c r="CA2153" t="s">
        <v>294</v>
      </c>
      <c r="CC2153" t="s">
        <v>109</v>
      </c>
      <c r="CD2153">
        <v>6001</v>
      </c>
      <c r="CE2153" t="s">
        <v>191</v>
      </c>
      <c r="CF2153" s="3">
        <v>45951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"080068625317"</f>
        <v>080068625317</v>
      </c>
      <c r="F2154" s="3">
        <v>45950</v>
      </c>
      <c r="G2154">
        <v>202607</v>
      </c>
      <c r="H2154" t="s">
        <v>79</v>
      </c>
      <c r="I2154" t="s">
        <v>80</v>
      </c>
      <c r="J2154" t="s">
        <v>91</v>
      </c>
      <c r="K2154" t="s">
        <v>78</v>
      </c>
      <c r="L2154" t="s">
        <v>108</v>
      </c>
      <c r="M2154" t="s">
        <v>109</v>
      </c>
      <c r="N2154" t="s">
        <v>315</v>
      </c>
      <c r="O2154" t="s">
        <v>82</v>
      </c>
      <c r="P2154" t="str">
        <f>"4170064897                    "</f>
        <v xml:space="preserve">4170064897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22.36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70.959999999999994</v>
      </c>
      <c r="BM2154">
        <v>10.64</v>
      </c>
      <c r="BN2154">
        <v>81.599999999999994</v>
      </c>
      <c r="BO2154">
        <v>81.599999999999994</v>
      </c>
      <c r="BQ2154" t="s">
        <v>2830</v>
      </c>
      <c r="BR2154" t="s">
        <v>97</v>
      </c>
      <c r="BS2154" s="3">
        <v>45951</v>
      </c>
      <c r="BT2154" s="4">
        <v>0.35833333333333334</v>
      </c>
      <c r="BU2154" t="s">
        <v>378</v>
      </c>
      <c r="BV2154" t="s">
        <v>86</v>
      </c>
      <c r="BY2154">
        <v>1200</v>
      </c>
      <c r="CA2154" t="s">
        <v>113</v>
      </c>
      <c r="CC2154" t="s">
        <v>109</v>
      </c>
      <c r="CD2154">
        <v>6045</v>
      </c>
      <c r="CE2154" t="s">
        <v>147</v>
      </c>
      <c r="CF2154" s="3">
        <v>45951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"080068625343"</f>
        <v>080068625343</v>
      </c>
      <c r="F2155" s="3">
        <v>45950</v>
      </c>
      <c r="G2155">
        <v>202607</v>
      </c>
      <c r="H2155" t="s">
        <v>79</v>
      </c>
      <c r="I2155" t="s">
        <v>80</v>
      </c>
      <c r="J2155" t="s">
        <v>91</v>
      </c>
      <c r="K2155" t="s">
        <v>78</v>
      </c>
      <c r="L2155" t="s">
        <v>300</v>
      </c>
      <c r="M2155" t="s">
        <v>301</v>
      </c>
      <c r="N2155" t="s">
        <v>335</v>
      </c>
      <c r="O2155" t="s">
        <v>82</v>
      </c>
      <c r="P2155" t="str">
        <f>"4170065064                    "</f>
        <v xml:space="preserve">4170065064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31.44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1.8</v>
      </c>
      <c r="BK2155">
        <v>2</v>
      </c>
      <c r="BL2155">
        <v>99.79</v>
      </c>
      <c r="BM2155">
        <v>14.97</v>
      </c>
      <c r="BN2155">
        <v>114.76</v>
      </c>
      <c r="BO2155">
        <v>114.76</v>
      </c>
      <c r="BQ2155" t="s">
        <v>475</v>
      </c>
      <c r="BR2155" t="s">
        <v>97</v>
      </c>
      <c r="BS2155" s="3">
        <v>45951</v>
      </c>
      <c r="BT2155" s="4">
        <v>0.42708333333333331</v>
      </c>
      <c r="BU2155" t="s">
        <v>1792</v>
      </c>
      <c r="BV2155" t="s">
        <v>86</v>
      </c>
      <c r="BY2155">
        <v>8816</v>
      </c>
      <c r="CA2155" t="s">
        <v>2831</v>
      </c>
      <c r="CC2155" t="s">
        <v>301</v>
      </c>
      <c r="CD2155">
        <v>1754</v>
      </c>
      <c r="CE2155" t="s">
        <v>191</v>
      </c>
      <c r="CF2155" s="3">
        <v>45951</v>
      </c>
      <c r="CI2155">
        <v>1</v>
      </c>
      <c r="CJ2155">
        <v>1</v>
      </c>
      <c r="CK2155">
        <v>24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"080068625355"</f>
        <v>080068625355</v>
      </c>
      <c r="F2156" s="3">
        <v>45950</v>
      </c>
      <c r="G2156">
        <v>202607</v>
      </c>
      <c r="H2156" t="s">
        <v>79</v>
      </c>
      <c r="I2156" t="s">
        <v>80</v>
      </c>
      <c r="J2156" t="s">
        <v>91</v>
      </c>
      <c r="K2156" t="s">
        <v>78</v>
      </c>
      <c r="L2156" t="s">
        <v>322</v>
      </c>
      <c r="M2156" t="s">
        <v>322</v>
      </c>
      <c r="N2156" t="s">
        <v>483</v>
      </c>
      <c r="O2156" t="s">
        <v>82</v>
      </c>
      <c r="P2156" t="str">
        <f>"4170065091                    "</f>
        <v xml:space="preserve">4170065091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43.31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137.47</v>
      </c>
      <c r="BM2156">
        <v>20.62</v>
      </c>
      <c r="BN2156">
        <v>158.09</v>
      </c>
      <c r="BO2156">
        <v>158.09</v>
      </c>
      <c r="BQ2156" t="s">
        <v>486</v>
      </c>
      <c r="BR2156" t="s">
        <v>97</v>
      </c>
      <c r="BS2156" s="3">
        <v>45951</v>
      </c>
      <c r="BT2156" s="4">
        <v>0.6</v>
      </c>
      <c r="BU2156" t="s">
        <v>485</v>
      </c>
      <c r="BV2156" t="s">
        <v>90</v>
      </c>
      <c r="BY2156">
        <v>1200</v>
      </c>
      <c r="CA2156" t="s">
        <v>1917</v>
      </c>
      <c r="CC2156" t="s">
        <v>322</v>
      </c>
      <c r="CD2156">
        <v>7646</v>
      </c>
      <c r="CE2156" t="s">
        <v>147</v>
      </c>
      <c r="CF2156" s="3">
        <v>45952</v>
      </c>
      <c r="CI2156">
        <v>1</v>
      </c>
      <c r="CJ2156">
        <v>1</v>
      </c>
      <c r="CK2156">
        <v>23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"080068625387"</f>
        <v>080068625387</v>
      </c>
      <c r="F2157" s="3">
        <v>45950</v>
      </c>
      <c r="G2157">
        <v>202607</v>
      </c>
      <c r="H2157" t="s">
        <v>79</v>
      </c>
      <c r="I2157" t="s">
        <v>80</v>
      </c>
      <c r="J2157" t="s">
        <v>91</v>
      </c>
      <c r="K2157" t="s">
        <v>78</v>
      </c>
      <c r="L2157" t="s">
        <v>1208</v>
      </c>
      <c r="M2157" t="s">
        <v>1209</v>
      </c>
      <c r="N2157" t="s">
        <v>1210</v>
      </c>
      <c r="O2157" t="s">
        <v>82</v>
      </c>
      <c r="P2157" t="str">
        <f>"4170065095                    "</f>
        <v xml:space="preserve">4170065095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92.21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4.4000000000000004</v>
      </c>
      <c r="BJ2157">
        <v>4.3</v>
      </c>
      <c r="BK2157">
        <v>4.5</v>
      </c>
      <c r="BL2157">
        <v>292.67</v>
      </c>
      <c r="BM2157">
        <v>43.9</v>
      </c>
      <c r="BN2157">
        <v>336.57</v>
      </c>
      <c r="BO2157">
        <v>336.57</v>
      </c>
      <c r="BQ2157" t="s">
        <v>1211</v>
      </c>
      <c r="BR2157" t="s">
        <v>97</v>
      </c>
      <c r="BS2157" s="3">
        <v>45952</v>
      </c>
      <c r="BT2157" s="4">
        <v>0.70833333333333337</v>
      </c>
      <c r="BU2157" t="s">
        <v>2832</v>
      </c>
      <c r="BV2157" t="s">
        <v>90</v>
      </c>
      <c r="BY2157">
        <v>21417.599999999999</v>
      </c>
      <c r="CC2157" t="s">
        <v>1209</v>
      </c>
      <c r="CD2157">
        <v>9880</v>
      </c>
      <c r="CE2157" t="s">
        <v>975</v>
      </c>
      <c r="CF2157" s="3">
        <v>45953</v>
      </c>
      <c r="CI2157">
        <v>1</v>
      </c>
      <c r="CJ2157">
        <v>2</v>
      </c>
      <c r="CK2157">
        <v>23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"080068625392"</f>
        <v>080068625392</v>
      </c>
      <c r="F2158" s="3">
        <v>45950</v>
      </c>
      <c r="G2158">
        <v>202607</v>
      </c>
      <c r="H2158" t="s">
        <v>79</v>
      </c>
      <c r="I2158" t="s">
        <v>80</v>
      </c>
      <c r="J2158" t="s">
        <v>91</v>
      </c>
      <c r="K2158" t="s">
        <v>78</v>
      </c>
      <c r="L2158" t="s">
        <v>168</v>
      </c>
      <c r="M2158" t="s">
        <v>169</v>
      </c>
      <c r="N2158" t="s">
        <v>911</v>
      </c>
      <c r="O2158" t="s">
        <v>82</v>
      </c>
      <c r="P2158" t="str">
        <f>"4170065065                    "</f>
        <v xml:space="preserve">4170065065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22.36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70.959999999999994</v>
      </c>
      <c r="BM2158">
        <v>10.64</v>
      </c>
      <c r="BN2158">
        <v>81.599999999999994</v>
      </c>
      <c r="BO2158">
        <v>81.599999999999994</v>
      </c>
      <c r="BQ2158" t="s">
        <v>912</v>
      </c>
      <c r="BR2158" t="s">
        <v>97</v>
      </c>
      <c r="BS2158" s="3">
        <v>45951</v>
      </c>
      <c r="BT2158" s="4">
        <v>0.43055555555555558</v>
      </c>
      <c r="BU2158" t="s">
        <v>2611</v>
      </c>
      <c r="BV2158" t="s">
        <v>86</v>
      </c>
      <c r="BY2158">
        <v>1200</v>
      </c>
      <c r="CA2158">
        <v>8201095431082</v>
      </c>
      <c r="CC2158" t="s">
        <v>169</v>
      </c>
      <c r="CD2158" s="5" t="s">
        <v>914</v>
      </c>
      <c r="CE2158" t="s">
        <v>147</v>
      </c>
      <c r="CF2158" s="3">
        <v>45951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"080068625437"</f>
        <v>080068625437</v>
      </c>
      <c r="F2159" s="3">
        <v>45950</v>
      </c>
      <c r="G2159">
        <v>202607</v>
      </c>
      <c r="H2159" t="s">
        <v>79</v>
      </c>
      <c r="I2159" t="s">
        <v>80</v>
      </c>
      <c r="J2159" t="s">
        <v>91</v>
      </c>
      <c r="K2159" t="s">
        <v>78</v>
      </c>
      <c r="L2159" t="s">
        <v>121</v>
      </c>
      <c r="M2159" t="s">
        <v>122</v>
      </c>
      <c r="N2159" t="s">
        <v>1674</v>
      </c>
      <c r="O2159" t="s">
        <v>82</v>
      </c>
      <c r="P2159" t="str">
        <f>"4170064932                    "</f>
        <v xml:space="preserve">4170064932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22.36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70.959999999999994</v>
      </c>
      <c r="BM2159">
        <v>10.64</v>
      </c>
      <c r="BN2159">
        <v>81.599999999999994</v>
      </c>
      <c r="BO2159">
        <v>81.599999999999994</v>
      </c>
      <c r="BQ2159" t="s">
        <v>1675</v>
      </c>
      <c r="BR2159" t="s">
        <v>97</v>
      </c>
      <c r="BS2159" s="3">
        <v>45951</v>
      </c>
      <c r="BT2159" s="4">
        <v>0.38958333333333334</v>
      </c>
      <c r="BU2159" t="s">
        <v>709</v>
      </c>
      <c r="BV2159" t="s">
        <v>86</v>
      </c>
      <c r="BY2159">
        <v>1200</v>
      </c>
      <c r="CA2159" t="s">
        <v>651</v>
      </c>
      <c r="CC2159" t="s">
        <v>122</v>
      </c>
      <c r="CD2159">
        <v>4001</v>
      </c>
      <c r="CE2159" t="s">
        <v>147</v>
      </c>
      <c r="CF2159" s="3">
        <v>45951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"080068625456"</f>
        <v>080068625456</v>
      </c>
      <c r="F2160" s="3">
        <v>45950</v>
      </c>
      <c r="G2160">
        <v>202607</v>
      </c>
      <c r="H2160" t="s">
        <v>79</v>
      </c>
      <c r="I2160" t="s">
        <v>80</v>
      </c>
      <c r="J2160" t="s">
        <v>91</v>
      </c>
      <c r="K2160" t="s">
        <v>78</v>
      </c>
      <c r="L2160" t="s">
        <v>453</v>
      </c>
      <c r="M2160" t="s">
        <v>454</v>
      </c>
      <c r="N2160" t="s">
        <v>455</v>
      </c>
      <c r="O2160" t="s">
        <v>82</v>
      </c>
      <c r="P2160" t="str">
        <f>"4170065054                    "</f>
        <v xml:space="preserve">4170065054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139.63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12.1</v>
      </c>
      <c r="BJ2160">
        <v>9.5</v>
      </c>
      <c r="BK2160">
        <v>12.5</v>
      </c>
      <c r="BL2160">
        <v>443.17</v>
      </c>
      <c r="BM2160">
        <v>66.48</v>
      </c>
      <c r="BN2160">
        <v>509.65</v>
      </c>
      <c r="BO2160">
        <v>509.65</v>
      </c>
      <c r="BQ2160" t="s">
        <v>456</v>
      </c>
      <c r="BR2160" t="s">
        <v>97</v>
      </c>
      <c r="BS2160" s="3">
        <v>45951</v>
      </c>
      <c r="BT2160" s="4">
        <v>0.42222222222222222</v>
      </c>
      <c r="BU2160" t="s">
        <v>2833</v>
      </c>
      <c r="BV2160" t="s">
        <v>86</v>
      </c>
      <c r="BY2160">
        <v>47306.82</v>
      </c>
      <c r="CA2160" t="s">
        <v>457</v>
      </c>
      <c r="CC2160" t="s">
        <v>454</v>
      </c>
      <c r="CD2160">
        <v>3608</v>
      </c>
      <c r="CE2160" t="s">
        <v>191</v>
      </c>
      <c r="CF2160" s="3">
        <v>45951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"080068625467"</f>
        <v>080068625467</v>
      </c>
      <c r="F2161" s="3">
        <v>45950</v>
      </c>
      <c r="G2161">
        <v>202607</v>
      </c>
      <c r="H2161" t="s">
        <v>79</v>
      </c>
      <c r="I2161" t="s">
        <v>80</v>
      </c>
      <c r="J2161" t="s">
        <v>91</v>
      </c>
      <c r="K2161" t="s">
        <v>78</v>
      </c>
      <c r="L2161" t="s">
        <v>233</v>
      </c>
      <c r="M2161" t="s">
        <v>234</v>
      </c>
      <c r="N2161" t="s">
        <v>1066</v>
      </c>
      <c r="O2161" t="s">
        <v>82</v>
      </c>
      <c r="P2161" t="str">
        <f>"4170065115                    "</f>
        <v xml:space="preserve">4170065115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22.36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70.959999999999994</v>
      </c>
      <c r="BM2161">
        <v>10.64</v>
      </c>
      <c r="BN2161">
        <v>81.599999999999994</v>
      </c>
      <c r="BO2161">
        <v>81.599999999999994</v>
      </c>
      <c r="BQ2161" t="s">
        <v>1067</v>
      </c>
      <c r="BR2161" t="s">
        <v>97</v>
      </c>
      <c r="BS2161" s="3">
        <v>45951</v>
      </c>
      <c r="BT2161" s="4">
        <v>0.37361111111111112</v>
      </c>
      <c r="BU2161" t="s">
        <v>1068</v>
      </c>
      <c r="BV2161" t="s">
        <v>86</v>
      </c>
      <c r="BY2161">
        <v>1200</v>
      </c>
      <c r="CA2161">
        <v>7104145194083</v>
      </c>
      <c r="CC2161" t="s">
        <v>234</v>
      </c>
      <c r="CD2161" s="5" t="s">
        <v>238</v>
      </c>
      <c r="CE2161" t="s">
        <v>147</v>
      </c>
      <c r="CF2161" s="3">
        <v>45951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"080068625486"</f>
        <v>080068625486</v>
      </c>
      <c r="F2162" s="3">
        <v>45950</v>
      </c>
      <c r="G2162">
        <v>202607</v>
      </c>
      <c r="H2162" t="s">
        <v>79</v>
      </c>
      <c r="I2162" t="s">
        <v>80</v>
      </c>
      <c r="J2162" t="s">
        <v>91</v>
      </c>
      <c r="K2162" t="s">
        <v>78</v>
      </c>
      <c r="L2162" t="s">
        <v>108</v>
      </c>
      <c r="M2162" t="s">
        <v>109</v>
      </c>
      <c r="N2162" t="s">
        <v>291</v>
      </c>
      <c r="O2162" t="s">
        <v>82</v>
      </c>
      <c r="P2162" t="str">
        <f>"4170064836                    "</f>
        <v xml:space="preserve">4170064836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22.36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0.2</v>
      </c>
      <c r="BJ2162">
        <v>1</v>
      </c>
      <c r="BK2162">
        <v>1</v>
      </c>
      <c r="BL2162">
        <v>70.959999999999994</v>
      </c>
      <c r="BM2162">
        <v>10.64</v>
      </c>
      <c r="BN2162">
        <v>81.599999999999994</v>
      </c>
      <c r="BO2162">
        <v>81.599999999999994</v>
      </c>
      <c r="BQ2162" t="s">
        <v>292</v>
      </c>
      <c r="BR2162" t="s">
        <v>97</v>
      </c>
      <c r="BS2162" s="3">
        <v>45951</v>
      </c>
      <c r="BT2162" s="4">
        <v>0.35</v>
      </c>
      <c r="BU2162" t="s">
        <v>2778</v>
      </c>
      <c r="BV2162" t="s">
        <v>86</v>
      </c>
      <c r="BY2162">
        <v>4934.21</v>
      </c>
      <c r="CA2162" t="s">
        <v>294</v>
      </c>
      <c r="CC2162" t="s">
        <v>109</v>
      </c>
      <c r="CD2162">
        <v>6001</v>
      </c>
      <c r="CE2162" t="s">
        <v>191</v>
      </c>
      <c r="CF2162" s="3">
        <v>45951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"080068625499"</f>
        <v>080068625499</v>
      </c>
      <c r="F2163" s="3">
        <v>45950</v>
      </c>
      <c r="G2163">
        <v>202607</v>
      </c>
      <c r="H2163" t="s">
        <v>79</v>
      </c>
      <c r="I2163" t="s">
        <v>80</v>
      </c>
      <c r="J2163" t="s">
        <v>91</v>
      </c>
      <c r="K2163" t="s">
        <v>78</v>
      </c>
      <c r="L2163" t="s">
        <v>121</v>
      </c>
      <c r="M2163" t="s">
        <v>122</v>
      </c>
      <c r="N2163" t="s">
        <v>2504</v>
      </c>
      <c r="O2163" t="s">
        <v>82</v>
      </c>
      <c r="P2163" t="str">
        <f>"4170065105                    "</f>
        <v xml:space="preserve">4170065105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22.36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70.959999999999994</v>
      </c>
      <c r="BM2163">
        <v>10.64</v>
      </c>
      <c r="BN2163">
        <v>81.599999999999994</v>
      </c>
      <c r="BO2163">
        <v>81.599999999999994</v>
      </c>
      <c r="BQ2163" t="s">
        <v>708</v>
      </c>
      <c r="BR2163" t="s">
        <v>97</v>
      </c>
      <c r="BS2163" s="3">
        <v>45951</v>
      </c>
      <c r="BT2163" s="4">
        <v>0.39374999999999999</v>
      </c>
      <c r="BU2163" t="s">
        <v>2834</v>
      </c>
      <c r="BV2163" t="s">
        <v>86</v>
      </c>
      <c r="BY2163">
        <v>1200</v>
      </c>
      <c r="CA2163" t="s">
        <v>2451</v>
      </c>
      <c r="CC2163" t="s">
        <v>122</v>
      </c>
      <c r="CD2163">
        <v>4000</v>
      </c>
      <c r="CE2163" t="s">
        <v>147</v>
      </c>
      <c r="CF2163" s="3">
        <v>45951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"080068625523"</f>
        <v>080068625523</v>
      </c>
      <c r="F2164" s="3">
        <v>45950</v>
      </c>
      <c r="G2164">
        <v>202607</v>
      </c>
      <c r="H2164" t="s">
        <v>79</v>
      </c>
      <c r="I2164" t="s">
        <v>80</v>
      </c>
      <c r="J2164" t="s">
        <v>91</v>
      </c>
      <c r="K2164" t="s">
        <v>78</v>
      </c>
      <c r="L2164" t="s">
        <v>959</v>
      </c>
      <c r="M2164" t="s">
        <v>960</v>
      </c>
      <c r="N2164" t="s">
        <v>961</v>
      </c>
      <c r="O2164" t="s">
        <v>82</v>
      </c>
      <c r="P2164" t="str">
        <f>"4170065072                    "</f>
        <v xml:space="preserve">4170065072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101.99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5</v>
      </c>
      <c r="BJ2164">
        <v>3.4</v>
      </c>
      <c r="BK2164">
        <v>5</v>
      </c>
      <c r="BL2164">
        <v>323.70999999999998</v>
      </c>
      <c r="BM2164">
        <v>48.56</v>
      </c>
      <c r="BN2164">
        <v>372.27</v>
      </c>
      <c r="BO2164">
        <v>372.27</v>
      </c>
      <c r="BQ2164" t="s">
        <v>962</v>
      </c>
      <c r="BR2164" t="s">
        <v>97</v>
      </c>
      <c r="BS2164" s="3">
        <v>45951</v>
      </c>
      <c r="BT2164" s="4">
        <v>0.47847222222222224</v>
      </c>
      <c r="BU2164" t="s">
        <v>1560</v>
      </c>
      <c r="BV2164" t="s">
        <v>86</v>
      </c>
      <c r="BY2164">
        <v>17110.8</v>
      </c>
      <c r="CA2164" t="s">
        <v>1125</v>
      </c>
      <c r="CC2164" t="s">
        <v>960</v>
      </c>
      <c r="CD2164">
        <v>6300</v>
      </c>
      <c r="CE2164" t="s">
        <v>191</v>
      </c>
      <c r="CF2164" s="3">
        <v>45951</v>
      </c>
      <c r="CI2164">
        <v>2</v>
      </c>
      <c r="CJ2164">
        <v>1</v>
      </c>
      <c r="CK2164">
        <v>23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"080068625524"</f>
        <v>080068625524</v>
      </c>
      <c r="F2165" s="3">
        <v>45950</v>
      </c>
      <c r="G2165">
        <v>202607</v>
      </c>
      <c r="H2165" t="s">
        <v>79</v>
      </c>
      <c r="I2165" t="s">
        <v>80</v>
      </c>
      <c r="J2165" t="s">
        <v>91</v>
      </c>
      <c r="K2165" t="s">
        <v>78</v>
      </c>
      <c r="L2165" t="s">
        <v>469</v>
      </c>
      <c r="M2165" t="s">
        <v>470</v>
      </c>
      <c r="N2165" t="s">
        <v>471</v>
      </c>
      <c r="O2165" t="s">
        <v>82</v>
      </c>
      <c r="P2165" t="str">
        <f>"4170064834                    "</f>
        <v xml:space="preserve">4170064834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43.31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137.47</v>
      </c>
      <c r="BM2165">
        <v>20.62</v>
      </c>
      <c r="BN2165">
        <v>158.09</v>
      </c>
      <c r="BO2165">
        <v>158.09</v>
      </c>
      <c r="BQ2165" t="s">
        <v>472</v>
      </c>
      <c r="BR2165" t="s">
        <v>97</v>
      </c>
      <c r="BS2165" s="3">
        <v>45951</v>
      </c>
      <c r="BT2165" s="4">
        <v>0.50208333333333333</v>
      </c>
      <c r="BU2165" t="s">
        <v>2488</v>
      </c>
      <c r="BV2165" t="s">
        <v>86</v>
      </c>
      <c r="BY2165">
        <v>1200</v>
      </c>
      <c r="CA2165" t="s">
        <v>474</v>
      </c>
      <c r="CC2165" t="s">
        <v>470</v>
      </c>
      <c r="CD2165">
        <v>7299</v>
      </c>
      <c r="CE2165" t="s">
        <v>147</v>
      </c>
      <c r="CF2165" s="3">
        <v>45952</v>
      </c>
      <c r="CI2165">
        <v>1</v>
      </c>
      <c r="CJ2165">
        <v>1</v>
      </c>
      <c r="CK2165">
        <v>23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"080068625563"</f>
        <v>080068625563</v>
      </c>
      <c r="F2166" s="3">
        <v>45950</v>
      </c>
      <c r="G2166">
        <v>202607</v>
      </c>
      <c r="H2166" t="s">
        <v>79</v>
      </c>
      <c r="I2166" t="s">
        <v>80</v>
      </c>
      <c r="J2166" t="s">
        <v>91</v>
      </c>
      <c r="K2166" t="s">
        <v>78</v>
      </c>
      <c r="L2166" t="s">
        <v>108</v>
      </c>
      <c r="M2166" t="s">
        <v>109</v>
      </c>
      <c r="N2166" t="s">
        <v>229</v>
      </c>
      <c r="O2166" t="s">
        <v>82</v>
      </c>
      <c r="P2166" t="str">
        <f>"4170064891                    "</f>
        <v xml:space="preserve">4170064891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22.36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70.959999999999994</v>
      </c>
      <c r="BM2166">
        <v>10.64</v>
      </c>
      <c r="BN2166">
        <v>81.599999999999994</v>
      </c>
      <c r="BO2166">
        <v>81.599999999999994</v>
      </c>
      <c r="BQ2166" t="s">
        <v>230</v>
      </c>
      <c r="BR2166" t="s">
        <v>97</v>
      </c>
      <c r="BS2166" s="3">
        <v>45951</v>
      </c>
      <c r="BT2166" s="4">
        <v>0.38333333333333336</v>
      </c>
      <c r="BU2166" t="s">
        <v>2826</v>
      </c>
      <c r="BV2166" t="s">
        <v>86</v>
      </c>
      <c r="BY2166">
        <v>1200</v>
      </c>
      <c r="CA2166" t="s">
        <v>232</v>
      </c>
      <c r="CC2166" t="s">
        <v>109</v>
      </c>
      <c r="CD2166">
        <v>6001</v>
      </c>
      <c r="CE2166" t="s">
        <v>147</v>
      </c>
      <c r="CF2166" s="3">
        <v>45951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"080068625595"</f>
        <v>080068625595</v>
      </c>
      <c r="F2167" s="3">
        <v>45950</v>
      </c>
      <c r="G2167">
        <v>202607</v>
      </c>
      <c r="H2167" t="s">
        <v>79</v>
      </c>
      <c r="I2167" t="s">
        <v>80</v>
      </c>
      <c r="J2167" t="s">
        <v>91</v>
      </c>
      <c r="K2167" t="s">
        <v>78</v>
      </c>
      <c r="L2167" t="s">
        <v>453</v>
      </c>
      <c r="M2167" t="s">
        <v>454</v>
      </c>
      <c r="N2167" t="s">
        <v>665</v>
      </c>
      <c r="O2167" t="s">
        <v>82</v>
      </c>
      <c r="P2167" t="str">
        <f>"4170064867                    "</f>
        <v xml:space="preserve">4170064867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22.36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70.959999999999994</v>
      </c>
      <c r="BM2167">
        <v>10.64</v>
      </c>
      <c r="BN2167">
        <v>81.599999999999994</v>
      </c>
      <c r="BO2167">
        <v>81.599999999999994</v>
      </c>
      <c r="BQ2167" t="s">
        <v>666</v>
      </c>
      <c r="BR2167" t="s">
        <v>97</v>
      </c>
      <c r="BS2167" s="3">
        <v>45951</v>
      </c>
      <c r="BT2167" s="4">
        <v>0.42708333333333331</v>
      </c>
      <c r="BU2167" t="s">
        <v>667</v>
      </c>
      <c r="BV2167" t="s">
        <v>86</v>
      </c>
      <c r="BY2167">
        <v>1200</v>
      </c>
      <c r="CA2167" t="s">
        <v>742</v>
      </c>
      <c r="CC2167" t="s">
        <v>454</v>
      </c>
      <c r="CD2167">
        <v>3610</v>
      </c>
      <c r="CE2167" t="s">
        <v>147</v>
      </c>
      <c r="CF2167" s="3">
        <v>45951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"080068625664"</f>
        <v>080068625664</v>
      </c>
      <c r="F2168" s="3">
        <v>45950</v>
      </c>
      <c r="G2168">
        <v>202607</v>
      </c>
      <c r="H2168" t="s">
        <v>79</v>
      </c>
      <c r="I2168" t="s">
        <v>80</v>
      </c>
      <c r="J2168" t="s">
        <v>91</v>
      </c>
      <c r="K2168" t="s">
        <v>78</v>
      </c>
      <c r="L2168" t="s">
        <v>121</v>
      </c>
      <c r="M2168" t="s">
        <v>122</v>
      </c>
      <c r="N2168" t="s">
        <v>123</v>
      </c>
      <c r="O2168" t="s">
        <v>82</v>
      </c>
      <c r="P2168" t="str">
        <f>"4170065111                    "</f>
        <v xml:space="preserve">4170065111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100.54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8.8000000000000007</v>
      </c>
      <c r="BJ2168">
        <v>5.7</v>
      </c>
      <c r="BK2168">
        <v>9</v>
      </c>
      <c r="BL2168">
        <v>319.10000000000002</v>
      </c>
      <c r="BM2168">
        <v>47.87</v>
      </c>
      <c r="BN2168">
        <v>366.97</v>
      </c>
      <c r="BO2168">
        <v>366.97</v>
      </c>
      <c r="BQ2168" t="s">
        <v>124</v>
      </c>
      <c r="BR2168" t="s">
        <v>97</v>
      </c>
      <c r="BS2168" s="3">
        <v>45951</v>
      </c>
      <c r="BT2168" s="4">
        <v>0.34236111111111112</v>
      </c>
      <c r="BU2168" t="s">
        <v>757</v>
      </c>
      <c r="BV2168" t="s">
        <v>86</v>
      </c>
      <c r="BY2168">
        <v>28392.81</v>
      </c>
      <c r="CA2168" t="s">
        <v>758</v>
      </c>
      <c r="CC2168" t="s">
        <v>122</v>
      </c>
      <c r="CD2168">
        <v>4051</v>
      </c>
      <c r="CE2168" t="s">
        <v>191</v>
      </c>
      <c r="CF2168" s="3">
        <v>45952</v>
      </c>
      <c r="CI2168">
        <v>1</v>
      </c>
      <c r="CJ2168">
        <v>1</v>
      </c>
      <c r="CK2168">
        <v>21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"080068625687"</f>
        <v>080068625687</v>
      </c>
      <c r="F2169" s="3">
        <v>45950</v>
      </c>
      <c r="G2169">
        <v>202607</v>
      </c>
      <c r="H2169" t="s">
        <v>79</v>
      </c>
      <c r="I2169" t="s">
        <v>80</v>
      </c>
      <c r="J2169" t="s">
        <v>91</v>
      </c>
      <c r="K2169" t="s">
        <v>78</v>
      </c>
      <c r="L2169" t="s">
        <v>271</v>
      </c>
      <c r="M2169" t="s">
        <v>272</v>
      </c>
      <c r="N2169" t="s">
        <v>368</v>
      </c>
      <c r="O2169" t="s">
        <v>82</v>
      </c>
      <c r="P2169" t="str">
        <f>"4170065094                    "</f>
        <v xml:space="preserve">4170065094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17.46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55.42</v>
      </c>
      <c r="BM2169">
        <v>8.31</v>
      </c>
      <c r="BN2169">
        <v>63.73</v>
      </c>
      <c r="BO2169">
        <v>63.73</v>
      </c>
      <c r="BQ2169" t="s">
        <v>369</v>
      </c>
      <c r="BR2169" t="s">
        <v>97</v>
      </c>
      <c r="BS2169" s="3">
        <v>45951</v>
      </c>
      <c r="BT2169" s="4">
        <v>0.42430555555555555</v>
      </c>
      <c r="BU2169" t="s">
        <v>2835</v>
      </c>
      <c r="BV2169" t="s">
        <v>86</v>
      </c>
      <c r="BY2169">
        <v>1200</v>
      </c>
      <c r="CA2169" t="s">
        <v>371</v>
      </c>
      <c r="CC2169" t="s">
        <v>272</v>
      </c>
      <c r="CD2169">
        <v>1401</v>
      </c>
      <c r="CE2169" t="s">
        <v>147</v>
      </c>
      <c r="CF2169" s="3">
        <v>45951</v>
      </c>
      <c r="CI2169">
        <v>1</v>
      </c>
      <c r="CJ2169">
        <v>1</v>
      </c>
      <c r="CK2169">
        <v>22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"080068625842"</f>
        <v>080068625842</v>
      </c>
      <c r="F2170" s="3">
        <v>45950</v>
      </c>
      <c r="G2170">
        <v>202607</v>
      </c>
      <c r="H2170" t="s">
        <v>79</v>
      </c>
      <c r="I2170" t="s">
        <v>80</v>
      </c>
      <c r="J2170" t="s">
        <v>91</v>
      </c>
      <c r="K2170" t="s">
        <v>78</v>
      </c>
      <c r="L2170" t="s">
        <v>168</v>
      </c>
      <c r="M2170" t="s">
        <v>169</v>
      </c>
      <c r="N2170" t="s">
        <v>1105</v>
      </c>
      <c r="O2170" t="s">
        <v>82</v>
      </c>
      <c r="P2170" t="str">
        <f>"4170064926                    "</f>
        <v xml:space="preserve">4170064926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22.36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70.959999999999994</v>
      </c>
      <c r="BM2170">
        <v>10.64</v>
      </c>
      <c r="BN2170">
        <v>81.599999999999994</v>
      </c>
      <c r="BO2170">
        <v>81.599999999999994</v>
      </c>
      <c r="BQ2170" t="s">
        <v>1106</v>
      </c>
      <c r="BR2170" t="s">
        <v>97</v>
      </c>
      <c r="BS2170" s="3">
        <v>45951</v>
      </c>
      <c r="BT2170" s="4">
        <v>0.35833333333333334</v>
      </c>
      <c r="BU2170" t="s">
        <v>2767</v>
      </c>
      <c r="BV2170" t="s">
        <v>86</v>
      </c>
      <c r="BY2170">
        <v>1200</v>
      </c>
      <c r="CC2170" t="s">
        <v>169</v>
      </c>
      <c r="CD2170" s="5" t="s">
        <v>1108</v>
      </c>
      <c r="CE2170" t="s">
        <v>147</v>
      </c>
      <c r="CF2170" s="3">
        <v>45951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"080068625859"</f>
        <v>080068625859</v>
      </c>
      <c r="F2171" s="3">
        <v>45950</v>
      </c>
      <c r="G2171">
        <v>202607</v>
      </c>
      <c r="H2171" t="s">
        <v>79</v>
      </c>
      <c r="I2171" t="s">
        <v>80</v>
      </c>
      <c r="J2171" t="s">
        <v>91</v>
      </c>
      <c r="K2171" t="s">
        <v>78</v>
      </c>
      <c r="L2171" t="s">
        <v>206</v>
      </c>
      <c r="M2171" t="s">
        <v>207</v>
      </c>
      <c r="N2171" t="s">
        <v>208</v>
      </c>
      <c r="O2171" t="s">
        <v>82</v>
      </c>
      <c r="P2171" t="str">
        <f>"4170064865                    "</f>
        <v xml:space="preserve">4170064865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44.69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3</v>
      </c>
      <c r="BJ2171">
        <v>3.8</v>
      </c>
      <c r="BK2171">
        <v>4</v>
      </c>
      <c r="BL2171">
        <v>141.85</v>
      </c>
      <c r="BM2171">
        <v>21.28</v>
      </c>
      <c r="BN2171">
        <v>163.13</v>
      </c>
      <c r="BO2171">
        <v>163.13</v>
      </c>
      <c r="BQ2171" t="s">
        <v>209</v>
      </c>
      <c r="BR2171" t="s">
        <v>97</v>
      </c>
      <c r="BS2171" s="3">
        <v>45951</v>
      </c>
      <c r="BT2171" s="4">
        <v>0.38124999999999998</v>
      </c>
      <c r="BU2171" t="s">
        <v>1732</v>
      </c>
      <c r="BV2171" t="s">
        <v>86</v>
      </c>
      <c r="BY2171">
        <v>19227</v>
      </c>
      <c r="CA2171" t="s">
        <v>211</v>
      </c>
      <c r="CC2171" t="s">
        <v>207</v>
      </c>
      <c r="CD2171">
        <v>7441</v>
      </c>
      <c r="CE2171" t="s">
        <v>191</v>
      </c>
      <c r="CF2171" s="3">
        <v>45952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"080068625871"</f>
        <v>080068625871</v>
      </c>
      <c r="F2172" s="3">
        <v>45950</v>
      </c>
      <c r="G2172">
        <v>202607</v>
      </c>
      <c r="H2172" t="s">
        <v>79</v>
      </c>
      <c r="I2172" t="s">
        <v>80</v>
      </c>
      <c r="J2172" t="s">
        <v>91</v>
      </c>
      <c r="K2172" t="s">
        <v>78</v>
      </c>
      <c r="L2172" t="s">
        <v>114</v>
      </c>
      <c r="M2172" t="s">
        <v>115</v>
      </c>
      <c r="N2172" t="s">
        <v>881</v>
      </c>
      <c r="O2172" t="s">
        <v>82</v>
      </c>
      <c r="P2172" t="str">
        <f>"4170064901                    "</f>
        <v xml:space="preserve">4170064901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22.36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70.959999999999994</v>
      </c>
      <c r="BM2172">
        <v>10.64</v>
      </c>
      <c r="BN2172">
        <v>81.599999999999994</v>
      </c>
      <c r="BO2172">
        <v>81.599999999999994</v>
      </c>
      <c r="BQ2172" t="s">
        <v>882</v>
      </c>
      <c r="BR2172" t="s">
        <v>97</v>
      </c>
      <c r="BS2172" s="3">
        <v>45951</v>
      </c>
      <c r="BT2172" s="4">
        <v>0.41388888888888886</v>
      </c>
      <c r="BU2172" t="s">
        <v>1293</v>
      </c>
      <c r="BV2172" t="s">
        <v>86</v>
      </c>
      <c r="BY2172">
        <v>1200</v>
      </c>
      <c r="CA2172" t="s">
        <v>749</v>
      </c>
      <c r="CC2172" t="s">
        <v>115</v>
      </c>
      <c r="CD2172">
        <v>5201</v>
      </c>
      <c r="CE2172" t="s">
        <v>147</v>
      </c>
      <c r="CF2172" s="3">
        <v>45951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"080068625886"</f>
        <v>080068625886</v>
      </c>
      <c r="F2173" s="3">
        <v>45950</v>
      </c>
      <c r="G2173">
        <v>202607</v>
      </c>
      <c r="H2173" t="s">
        <v>79</v>
      </c>
      <c r="I2173" t="s">
        <v>80</v>
      </c>
      <c r="J2173" t="s">
        <v>91</v>
      </c>
      <c r="K2173" t="s">
        <v>78</v>
      </c>
      <c r="L2173" t="s">
        <v>322</v>
      </c>
      <c r="M2173" t="s">
        <v>322</v>
      </c>
      <c r="N2173" t="s">
        <v>376</v>
      </c>
      <c r="O2173" t="s">
        <v>82</v>
      </c>
      <c r="P2173" t="str">
        <f>"4170064890                    "</f>
        <v xml:space="preserve">4170064890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43.31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137.47</v>
      </c>
      <c r="BM2173">
        <v>20.62</v>
      </c>
      <c r="BN2173">
        <v>158.09</v>
      </c>
      <c r="BO2173">
        <v>158.09</v>
      </c>
      <c r="BQ2173" t="s">
        <v>377</v>
      </c>
      <c r="BR2173" t="s">
        <v>97</v>
      </c>
      <c r="BS2173" s="3">
        <v>45951</v>
      </c>
      <c r="BT2173" s="4">
        <v>0.59444444444444444</v>
      </c>
      <c r="BU2173" t="s">
        <v>1402</v>
      </c>
      <c r="BV2173" t="s">
        <v>90</v>
      </c>
      <c r="BY2173">
        <v>1200</v>
      </c>
      <c r="CA2173" t="s">
        <v>1917</v>
      </c>
      <c r="CC2173" t="s">
        <v>322</v>
      </c>
      <c r="CD2173">
        <v>7646</v>
      </c>
      <c r="CE2173" t="s">
        <v>147</v>
      </c>
      <c r="CF2173" s="3">
        <v>45952</v>
      </c>
      <c r="CI2173">
        <v>1</v>
      </c>
      <c r="CJ2173">
        <v>1</v>
      </c>
      <c r="CK2173">
        <v>23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"080068625904"</f>
        <v>080068625904</v>
      </c>
      <c r="F2174" s="3">
        <v>45950</v>
      </c>
      <c r="G2174">
        <v>202607</v>
      </c>
      <c r="H2174" t="s">
        <v>79</v>
      </c>
      <c r="I2174" t="s">
        <v>80</v>
      </c>
      <c r="J2174" t="s">
        <v>91</v>
      </c>
      <c r="K2174" t="s">
        <v>78</v>
      </c>
      <c r="L2174" t="s">
        <v>246</v>
      </c>
      <c r="M2174" t="s">
        <v>247</v>
      </c>
      <c r="N2174" t="s">
        <v>1210</v>
      </c>
      <c r="O2174" t="s">
        <v>82</v>
      </c>
      <c r="P2174" t="str">
        <f>"4170064858                    "</f>
        <v xml:space="preserve">4170064858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43.31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16.739999999999998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1.2</v>
      </c>
      <c r="BJ2174">
        <v>0.8</v>
      </c>
      <c r="BK2174">
        <v>1.5</v>
      </c>
      <c r="BL2174">
        <v>154.21</v>
      </c>
      <c r="BM2174">
        <v>23.13</v>
      </c>
      <c r="BN2174">
        <v>177.34</v>
      </c>
      <c r="BO2174">
        <v>177.34</v>
      </c>
      <c r="BQ2174" t="s">
        <v>1211</v>
      </c>
      <c r="BR2174" t="s">
        <v>97</v>
      </c>
      <c r="BS2174" s="3">
        <v>45951</v>
      </c>
      <c r="BT2174" s="4">
        <v>0.64166666666666672</v>
      </c>
      <c r="BU2174" t="s">
        <v>2836</v>
      </c>
      <c r="BV2174" t="s">
        <v>86</v>
      </c>
      <c r="BY2174">
        <v>4210.08</v>
      </c>
      <c r="BZ2174" t="s">
        <v>30</v>
      </c>
      <c r="CC2174" t="s">
        <v>247</v>
      </c>
      <c r="CD2174" s="5" t="s">
        <v>2154</v>
      </c>
      <c r="CE2174" t="s">
        <v>191</v>
      </c>
      <c r="CF2174" s="3">
        <v>45951</v>
      </c>
      <c r="CI2174">
        <v>1</v>
      </c>
      <c r="CJ2174">
        <v>1</v>
      </c>
      <c r="CK2174">
        <v>23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"080068625910"</f>
        <v>080068625910</v>
      </c>
      <c r="F2175" s="3">
        <v>45950</v>
      </c>
      <c r="G2175">
        <v>202607</v>
      </c>
      <c r="H2175" t="s">
        <v>79</v>
      </c>
      <c r="I2175" t="s">
        <v>80</v>
      </c>
      <c r="J2175" t="s">
        <v>91</v>
      </c>
      <c r="K2175" t="s">
        <v>78</v>
      </c>
      <c r="L2175" t="s">
        <v>265</v>
      </c>
      <c r="M2175" t="s">
        <v>266</v>
      </c>
      <c r="N2175" t="s">
        <v>536</v>
      </c>
      <c r="O2175" t="s">
        <v>82</v>
      </c>
      <c r="P2175" t="str">
        <f>"4170065067                    "</f>
        <v xml:space="preserve">4170065067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22.36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70.959999999999994</v>
      </c>
      <c r="BM2175">
        <v>10.64</v>
      </c>
      <c r="BN2175">
        <v>81.599999999999994</v>
      </c>
      <c r="BO2175">
        <v>81.599999999999994</v>
      </c>
      <c r="BQ2175" t="s">
        <v>537</v>
      </c>
      <c r="BR2175" t="s">
        <v>97</v>
      </c>
      <c r="BS2175" s="3">
        <v>45951</v>
      </c>
      <c r="BT2175" s="4">
        <v>0.33402777777777776</v>
      </c>
      <c r="BU2175" t="s">
        <v>817</v>
      </c>
      <c r="BV2175" t="s">
        <v>86</v>
      </c>
      <c r="BY2175">
        <v>1200</v>
      </c>
      <c r="CA2175" t="s">
        <v>818</v>
      </c>
      <c r="CC2175" t="s">
        <v>266</v>
      </c>
      <c r="CD2175">
        <v>6230</v>
      </c>
      <c r="CE2175" t="s">
        <v>147</v>
      </c>
      <c r="CF2175" s="3">
        <v>45951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"080068625935"</f>
        <v>080068625935</v>
      </c>
      <c r="F2176" s="3">
        <v>45950</v>
      </c>
      <c r="G2176">
        <v>202607</v>
      </c>
      <c r="H2176" t="s">
        <v>79</v>
      </c>
      <c r="I2176" t="s">
        <v>80</v>
      </c>
      <c r="J2176" t="s">
        <v>91</v>
      </c>
      <c r="K2176" t="s">
        <v>78</v>
      </c>
      <c r="L2176" t="s">
        <v>206</v>
      </c>
      <c r="M2176" t="s">
        <v>207</v>
      </c>
      <c r="N2176" t="s">
        <v>427</v>
      </c>
      <c r="O2176" t="s">
        <v>82</v>
      </c>
      <c r="P2176" t="str">
        <f>"4170064910                    "</f>
        <v xml:space="preserve">4170064910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22.36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70.959999999999994</v>
      </c>
      <c r="BM2176">
        <v>10.64</v>
      </c>
      <c r="BN2176">
        <v>81.599999999999994</v>
      </c>
      <c r="BO2176">
        <v>81.599999999999994</v>
      </c>
      <c r="BQ2176" t="s">
        <v>428</v>
      </c>
      <c r="BR2176" t="s">
        <v>97</v>
      </c>
      <c r="BS2176" s="3">
        <v>45951</v>
      </c>
      <c r="BT2176" s="4">
        <v>0.35069444444444442</v>
      </c>
      <c r="BU2176" t="s">
        <v>2771</v>
      </c>
      <c r="BV2176" t="s">
        <v>86</v>
      </c>
      <c r="BY2176">
        <v>1200</v>
      </c>
      <c r="CA2176" t="s">
        <v>785</v>
      </c>
      <c r="CC2176" t="s">
        <v>207</v>
      </c>
      <c r="CD2176">
        <v>7530</v>
      </c>
      <c r="CE2176" t="s">
        <v>147</v>
      </c>
      <c r="CF2176" s="3">
        <v>45952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"080068625948"</f>
        <v>080068625948</v>
      </c>
      <c r="F2177" s="3">
        <v>45950</v>
      </c>
      <c r="G2177">
        <v>202607</v>
      </c>
      <c r="H2177" t="s">
        <v>79</v>
      </c>
      <c r="I2177" t="s">
        <v>80</v>
      </c>
      <c r="J2177" t="s">
        <v>91</v>
      </c>
      <c r="K2177" t="s">
        <v>78</v>
      </c>
      <c r="L2177" t="s">
        <v>148</v>
      </c>
      <c r="M2177" t="s">
        <v>149</v>
      </c>
      <c r="N2177" t="s">
        <v>2275</v>
      </c>
      <c r="O2177" t="s">
        <v>82</v>
      </c>
      <c r="P2177" t="str">
        <f>"4170065040                    "</f>
        <v xml:space="preserve">4170065040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17.46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55.42</v>
      </c>
      <c r="BM2177">
        <v>8.31</v>
      </c>
      <c r="BN2177">
        <v>63.73</v>
      </c>
      <c r="BO2177">
        <v>63.73</v>
      </c>
      <c r="BQ2177" t="s">
        <v>2276</v>
      </c>
      <c r="BR2177" t="s">
        <v>97</v>
      </c>
      <c r="BS2177" s="3">
        <v>45951</v>
      </c>
      <c r="BT2177" s="4">
        <v>0.33333333333333331</v>
      </c>
      <c r="BU2177" t="s">
        <v>2277</v>
      </c>
      <c r="BV2177" t="s">
        <v>86</v>
      </c>
      <c r="BY2177">
        <v>1200</v>
      </c>
      <c r="CA2177" t="s">
        <v>1463</v>
      </c>
      <c r="CC2177" t="s">
        <v>149</v>
      </c>
      <c r="CD2177">
        <v>2190</v>
      </c>
      <c r="CE2177" t="s">
        <v>147</v>
      </c>
      <c r="CF2177" s="3">
        <v>45951</v>
      </c>
      <c r="CI2177">
        <v>1</v>
      </c>
      <c r="CJ2177">
        <v>1</v>
      </c>
      <c r="CK2177">
        <v>22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"080068625970"</f>
        <v>080068625970</v>
      </c>
      <c r="F2178" s="3">
        <v>45950</v>
      </c>
      <c r="G2178">
        <v>202607</v>
      </c>
      <c r="H2178" t="s">
        <v>79</v>
      </c>
      <c r="I2178" t="s">
        <v>80</v>
      </c>
      <c r="J2178" t="s">
        <v>91</v>
      </c>
      <c r="K2178" t="s">
        <v>78</v>
      </c>
      <c r="L2178" t="s">
        <v>168</v>
      </c>
      <c r="M2178" t="s">
        <v>169</v>
      </c>
      <c r="N2178" t="s">
        <v>836</v>
      </c>
      <c r="O2178" t="s">
        <v>82</v>
      </c>
      <c r="P2178" t="str">
        <f>"4170064904                    "</f>
        <v xml:space="preserve">4170064904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22.36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70.959999999999994</v>
      </c>
      <c r="BM2178">
        <v>10.64</v>
      </c>
      <c r="BN2178">
        <v>81.599999999999994</v>
      </c>
      <c r="BO2178">
        <v>81.599999999999994</v>
      </c>
      <c r="BQ2178" t="s">
        <v>837</v>
      </c>
      <c r="BR2178" t="s">
        <v>97</v>
      </c>
      <c r="BS2178" s="3">
        <v>45951</v>
      </c>
      <c r="BT2178" s="4">
        <v>0.42569444444444443</v>
      </c>
      <c r="BU2178" t="s">
        <v>838</v>
      </c>
      <c r="BV2178" t="s">
        <v>86</v>
      </c>
      <c r="BY2178">
        <v>1200</v>
      </c>
      <c r="CA2178">
        <v>8110305701087</v>
      </c>
      <c r="CC2178" t="s">
        <v>169</v>
      </c>
      <c r="CD2178" s="5" t="s">
        <v>839</v>
      </c>
      <c r="CE2178" t="s">
        <v>147</v>
      </c>
      <c r="CF2178" s="3">
        <v>45951</v>
      </c>
      <c r="CI2178">
        <v>1</v>
      </c>
      <c r="CJ2178">
        <v>1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"080068625983"</f>
        <v>080068625983</v>
      </c>
      <c r="F2179" s="3">
        <v>45950</v>
      </c>
      <c r="G2179">
        <v>202607</v>
      </c>
      <c r="H2179" t="s">
        <v>79</v>
      </c>
      <c r="I2179" t="s">
        <v>80</v>
      </c>
      <c r="J2179" t="s">
        <v>91</v>
      </c>
      <c r="K2179" t="s">
        <v>78</v>
      </c>
      <c r="L2179" t="s">
        <v>223</v>
      </c>
      <c r="M2179" t="s">
        <v>224</v>
      </c>
      <c r="N2179" t="s">
        <v>1019</v>
      </c>
      <c r="O2179" t="s">
        <v>82</v>
      </c>
      <c r="P2179" t="str">
        <f>"4170065034                    "</f>
        <v xml:space="preserve">4170065034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17.46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1.3</v>
      </c>
      <c r="BJ2179">
        <v>1</v>
      </c>
      <c r="BK2179">
        <v>2</v>
      </c>
      <c r="BL2179">
        <v>55.42</v>
      </c>
      <c r="BM2179">
        <v>8.31</v>
      </c>
      <c r="BN2179">
        <v>63.73</v>
      </c>
      <c r="BO2179">
        <v>63.73</v>
      </c>
      <c r="BQ2179" t="s">
        <v>1020</v>
      </c>
      <c r="BR2179" t="s">
        <v>97</v>
      </c>
      <c r="BS2179" s="3">
        <v>45951</v>
      </c>
      <c r="BT2179" s="4">
        <v>0.37222222222222223</v>
      </c>
      <c r="BU2179" t="s">
        <v>2118</v>
      </c>
      <c r="BV2179" t="s">
        <v>86</v>
      </c>
      <c r="BY2179">
        <v>4870.5</v>
      </c>
      <c r="CA2179" t="s">
        <v>508</v>
      </c>
      <c r="CC2179" t="s">
        <v>224</v>
      </c>
      <c r="CD2179">
        <v>1459</v>
      </c>
      <c r="CE2179" t="s">
        <v>191</v>
      </c>
      <c r="CF2179" s="3">
        <v>45951</v>
      </c>
      <c r="CI2179">
        <v>1</v>
      </c>
      <c r="CJ2179">
        <v>1</v>
      </c>
      <c r="CK2179">
        <v>22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"080068625999"</f>
        <v>080068625999</v>
      </c>
      <c r="F2180" s="3">
        <v>45950</v>
      </c>
      <c r="G2180">
        <v>202607</v>
      </c>
      <c r="H2180" t="s">
        <v>79</v>
      </c>
      <c r="I2180" t="s">
        <v>80</v>
      </c>
      <c r="J2180" t="s">
        <v>91</v>
      </c>
      <c r="K2180" t="s">
        <v>78</v>
      </c>
      <c r="L2180" t="s">
        <v>114</v>
      </c>
      <c r="M2180" t="s">
        <v>115</v>
      </c>
      <c r="N2180" t="s">
        <v>746</v>
      </c>
      <c r="O2180" t="s">
        <v>82</v>
      </c>
      <c r="P2180" t="str">
        <f>"4170065035                    "</f>
        <v xml:space="preserve">4170065035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22.36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70.959999999999994</v>
      </c>
      <c r="BM2180">
        <v>10.64</v>
      </c>
      <c r="BN2180">
        <v>81.599999999999994</v>
      </c>
      <c r="BO2180">
        <v>81.599999999999994</v>
      </c>
      <c r="BQ2180" t="s">
        <v>747</v>
      </c>
      <c r="BR2180" t="s">
        <v>97</v>
      </c>
      <c r="BS2180" s="3">
        <v>45951</v>
      </c>
      <c r="BT2180" s="4">
        <v>0.43611111111111112</v>
      </c>
      <c r="BU2180" t="s">
        <v>2770</v>
      </c>
      <c r="BV2180" t="s">
        <v>86</v>
      </c>
      <c r="BY2180">
        <v>1200</v>
      </c>
      <c r="CA2180" t="s">
        <v>749</v>
      </c>
      <c r="CC2180" t="s">
        <v>115</v>
      </c>
      <c r="CD2180">
        <v>5200</v>
      </c>
      <c r="CE2180" t="s">
        <v>147</v>
      </c>
      <c r="CF2180" s="3">
        <v>45951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"080068626017"</f>
        <v>080068626017</v>
      </c>
      <c r="F2181" s="3">
        <v>45950</v>
      </c>
      <c r="G2181">
        <v>202607</v>
      </c>
      <c r="H2181" t="s">
        <v>79</v>
      </c>
      <c r="I2181" t="s">
        <v>80</v>
      </c>
      <c r="J2181" t="s">
        <v>91</v>
      </c>
      <c r="K2181" t="s">
        <v>78</v>
      </c>
      <c r="L2181" t="s">
        <v>148</v>
      </c>
      <c r="M2181" t="s">
        <v>149</v>
      </c>
      <c r="N2181" t="s">
        <v>952</v>
      </c>
      <c r="O2181" t="s">
        <v>82</v>
      </c>
      <c r="P2181" t="str">
        <f>"4170064842                    "</f>
        <v xml:space="preserve">4170064842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17.46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55.42</v>
      </c>
      <c r="BM2181">
        <v>8.31</v>
      </c>
      <c r="BN2181">
        <v>63.73</v>
      </c>
      <c r="BO2181">
        <v>63.73</v>
      </c>
      <c r="BQ2181" t="s">
        <v>953</v>
      </c>
      <c r="BR2181" t="s">
        <v>97</v>
      </c>
      <c r="BS2181" s="3">
        <v>45951</v>
      </c>
      <c r="BT2181" s="4">
        <v>0.375</v>
      </c>
      <c r="BU2181" t="s">
        <v>1702</v>
      </c>
      <c r="BV2181" t="s">
        <v>86</v>
      </c>
      <c r="BY2181">
        <v>1200</v>
      </c>
      <c r="CA2181" t="s">
        <v>1217</v>
      </c>
      <c r="CC2181" t="s">
        <v>149</v>
      </c>
      <c r="CD2181">
        <v>2091</v>
      </c>
      <c r="CE2181" t="s">
        <v>1955</v>
      </c>
      <c r="CF2181" s="3">
        <v>45951</v>
      </c>
      <c r="CI2181">
        <v>1</v>
      </c>
      <c r="CJ2181">
        <v>1</v>
      </c>
      <c r="CK2181">
        <v>22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"080068626028"</f>
        <v>080068626028</v>
      </c>
      <c r="F2182" s="3">
        <v>45950</v>
      </c>
      <c r="G2182">
        <v>202607</v>
      </c>
      <c r="H2182" t="s">
        <v>79</v>
      </c>
      <c r="I2182" t="s">
        <v>80</v>
      </c>
      <c r="J2182" t="s">
        <v>91</v>
      </c>
      <c r="K2182" t="s">
        <v>78</v>
      </c>
      <c r="L2182" t="s">
        <v>121</v>
      </c>
      <c r="M2182" t="s">
        <v>122</v>
      </c>
      <c r="N2182" t="s">
        <v>632</v>
      </c>
      <c r="O2182" t="s">
        <v>82</v>
      </c>
      <c r="P2182" t="str">
        <f>"4170065098                    "</f>
        <v xml:space="preserve">4170065098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22.36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70.959999999999994</v>
      </c>
      <c r="BM2182">
        <v>10.64</v>
      </c>
      <c r="BN2182">
        <v>81.599999999999994</v>
      </c>
      <c r="BO2182">
        <v>81.599999999999994</v>
      </c>
      <c r="BQ2182" t="s">
        <v>633</v>
      </c>
      <c r="BR2182" t="s">
        <v>97</v>
      </c>
      <c r="BS2182" s="3">
        <v>45951</v>
      </c>
      <c r="BT2182" s="4">
        <v>0.42916666666666664</v>
      </c>
      <c r="BU2182" t="s">
        <v>1507</v>
      </c>
      <c r="BV2182" t="s">
        <v>86</v>
      </c>
      <c r="BY2182">
        <v>1200</v>
      </c>
      <c r="CA2182" t="s">
        <v>635</v>
      </c>
      <c r="CC2182" t="s">
        <v>122</v>
      </c>
      <c r="CD2182">
        <v>4000</v>
      </c>
      <c r="CE2182" t="s">
        <v>147</v>
      </c>
      <c r="CF2182" s="3">
        <v>45951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"080068626042"</f>
        <v>080068626042</v>
      </c>
      <c r="F2183" s="3">
        <v>45950</v>
      </c>
      <c r="G2183">
        <v>202607</v>
      </c>
      <c r="H2183" t="s">
        <v>79</v>
      </c>
      <c r="I2183" t="s">
        <v>80</v>
      </c>
      <c r="J2183" t="s">
        <v>91</v>
      </c>
      <c r="K2183" t="s">
        <v>78</v>
      </c>
      <c r="L2183" t="s">
        <v>79</v>
      </c>
      <c r="M2183" t="s">
        <v>80</v>
      </c>
      <c r="N2183" t="s">
        <v>163</v>
      </c>
      <c r="O2183" t="s">
        <v>82</v>
      </c>
      <c r="P2183" t="str">
        <f>"4170064889                    "</f>
        <v xml:space="preserve">4170064889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17.46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55.42</v>
      </c>
      <c r="BM2183">
        <v>8.31</v>
      </c>
      <c r="BN2183">
        <v>63.73</v>
      </c>
      <c r="BO2183">
        <v>63.73</v>
      </c>
      <c r="BQ2183" t="s">
        <v>164</v>
      </c>
      <c r="BR2183" t="s">
        <v>97</v>
      </c>
      <c r="BS2183" s="3">
        <v>45951</v>
      </c>
      <c r="BT2183" s="4">
        <v>0.35069444444444442</v>
      </c>
      <c r="BU2183" t="s">
        <v>165</v>
      </c>
      <c r="BV2183" t="s">
        <v>86</v>
      </c>
      <c r="BY2183">
        <v>1200</v>
      </c>
      <c r="CA2183" t="s">
        <v>166</v>
      </c>
      <c r="CC2183" t="s">
        <v>80</v>
      </c>
      <c r="CD2183">
        <v>1600</v>
      </c>
      <c r="CE2183" t="s">
        <v>1955</v>
      </c>
      <c r="CF2183" s="3">
        <v>45952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"080068626045"</f>
        <v>080068626045</v>
      </c>
      <c r="F2184" s="3">
        <v>45950</v>
      </c>
      <c r="G2184">
        <v>202607</v>
      </c>
      <c r="H2184" t="s">
        <v>79</v>
      </c>
      <c r="I2184" t="s">
        <v>80</v>
      </c>
      <c r="J2184" t="s">
        <v>91</v>
      </c>
      <c r="K2184" t="s">
        <v>78</v>
      </c>
      <c r="L2184" t="s">
        <v>92</v>
      </c>
      <c r="M2184" t="s">
        <v>93</v>
      </c>
      <c r="N2184" t="s">
        <v>552</v>
      </c>
      <c r="O2184" t="s">
        <v>82</v>
      </c>
      <c r="P2184" t="str">
        <f>"4170065082                    "</f>
        <v xml:space="preserve">4170065082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22.36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70.959999999999994</v>
      </c>
      <c r="BM2184">
        <v>10.64</v>
      </c>
      <c r="BN2184">
        <v>81.599999999999994</v>
      </c>
      <c r="BO2184">
        <v>81.599999999999994</v>
      </c>
      <c r="BQ2184" t="s">
        <v>553</v>
      </c>
      <c r="BR2184" t="s">
        <v>97</v>
      </c>
      <c r="BS2184" s="3">
        <v>45951</v>
      </c>
      <c r="BT2184" s="4">
        <v>0.39652777777777776</v>
      </c>
      <c r="BU2184" t="s">
        <v>1140</v>
      </c>
      <c r="BV2184" t="s">
        <v>86</v>
      </c>
      <c r="BY2184">
        <v>1200</v>
      </c>
      <c r="CA2184" t="s">
        <v>1141</v>
      </c>
      <c r="CC2184" t="s">
        <v>93</v>
      </c>
      <c r="CD2184">
        <v>3201</v>
      </c>
      <c r="CE2184" t="s">
        <v>147</v>
      </c>
      <c r="CF2184" s="3">
        <v>45952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"080068626058"</f>
        <v>080068626058</v>
      </c>
      <c r="F2185" s="3">
        <v>45950</v>
      </c>
      <c r="G2185">
        <v>202607</v>
      </c>
      <c r="H2185" t="s">
        <v>79</v>
      </c>
      <c r="I2185" t="s">
        <v>80</v>
      </c>
      <c r="J2185" t="s">
        <v>91</v>
      </c>
      <c r="K2185" t="s">
        <v>78</v>
      </c>
      <c r="L2185" t="s">
        <v>108</v>
      </c>
      <c r="M2185" t="s">
        <v>109</v>
      </c>
      <c r="N2185" t="s">
        <v>938</v>
      </c>
      <c r="O2185" t="s">
        <v>82</v>
      </c>
      <c r="P2185" t="str">
        <f>"4170064878                    "</f>
        <v xml:space="preserve">4170064878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22.36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70.959999999999994</v>
      </c>
      <c r="BM2185">
        <v>10.64</v>
      </c>
      <c r="BN2185">
        <v>81.599999999999994</v>
      </c>
      <c r="BO2185">
        <v>81.599999999999994</v>
      </c>
      <c r="BQ2185" t="s">
        <v>939</v>
      </c>
      <c r="BR2185" t="s">
        <v>97</v>
      </c>
      <c r="BS2185" s="3">
        <v>45951</v>
      </c>
      <c r="BT2185" s="4">
        <v>0.41875000000000001</v>
      </c>
      <c r="BU2185" t="s">
        <v>940</v>
      </c>
      <c r="BV2185" t="s">
        <v>86</v>
      </c>
      <c r="BY2185">
        <v>1200</v>
      </c>
      <c r="CA2185" t="s">
        <v>232</v>
      </c>
      <c r="CC2185" t="s">
        <v>109</v>
      </c>
      <c r="CD2185">
        <v>6056</v>
      </c>
      <c r="CE2185" t="s">
        <v>1955</v>
      </c>
      <c r="CF2185" s="3">
        <v>45951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"080068626068"</f>
        <v>080068626068</v>
      </c>
      <c r="F2186" s="3">
        <v>45950</v>
      </c>
      <c r="G2186">
        <v>202607</v>
      </c>
      <c r="H2186" t="s">
        <v>79</v>
      </c>
      <c r="I2186" t="s">
        <v>80</v>
      </c>
      <c r="J2186" t="s">
        <v>91</v>
      </c>
      <c r="K2186" t="s">
        <v>78</v>
      </c>
      <c r="L2186" t="s">
        <v>114</v>
      </c>
      <c r="M2186" t="s">
        <v>115</v>
      </c>
      <c r="N2186" t="s">
        <v>746</v>
      </c>
      <c r="O2186" t="s">
        <v>82</v>
      </c>
      <c r="P2186" t="str">
        <f>"4170064930                    "</f>
        <v xml:space="preserve">4170064930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22.36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70.959999999999994</v>
      </c>
      <c r="BM2186">
        <v>10.64</v>
      </c>
      <c r="BN2186">
        <v>81.599999999999994</v>
      </c>
      <c r="BO2186">
        <v>81.599999999999994</v>
      </c>
      <c r="BQ2186" t="s">
        <v>747</v>
      </c>
      <c r="BR2186" t="s">
        <v>97</v>
      </c>
      <c r="BS2186" s="3">
        <v>45951</v>
      </c>
      <c r="BT2186" s="4">
        <v>0.43611111111111112</v>
      </c>
      <c r="BU2186" t="s">
        <v>2825</v>
      </c>
      <c r="BV2186" t="s">
        <v>86</v>
      </c>
      <c r="BY2186">
        <v>1200</v>
      </c>
      <c r="CA2186" t="s">
        <v>749</v>
      </c>
      <c r="CC2186" t="s">
        <v>115</v>
      </c>
      <c r="CD2186">
        <v>5201</v>
      </c>
      <c r="CE2186" t="s">
        <v>1955</v>
      </c>
      <c r="CF2186" s="3">
        <v>45951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"080068626078"</f>
        <v>080068626078</v>
      </c>
      <c r="F2187" s="3">
        <v>45950</v>
      </c>
      <c r="G2187">
        <v>202607</v>
      </c>
      <c r="H2187" t="s">
        <v>79</v>
      </c>
      <c r="I2187" t="s">
        <v>80</v>
      </c>
      <c r="J2187" t="s">
        <v>91</v>
      </c>
      <c r="K2187" t="s">
        <v>78</v>
      </c>
      <c r="L2187" t="s">
        <v>148</v>
      </c>
      <c r="M2187" t="s">
        <v>149</v>
      </c>
      <c r="N2187" t="s">
        <v>465</v>
      </c>
      <c r="O2187" t="s">
        <v>82</v>
      </c>
      <c r="P2187" t="str">
        <f>"4170064937                    "</f>
        <v xml:space="preserve">4170064937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17.46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1.3</v>
      </c>
      <c r="BJ2187">
        <v>0.9</v>
      </c>
      <c r="BK2187">
        <v>2</v>
      </c>
      <c r="BL2187">
        <v>55.42</v>
      </c>
      <c r="BM2187">
        <v>8.31</v>
      </c>
      <c r="BN2187">
        <v>63.73</v>
      </c>
      <c r="BO2187">
        <v>63.73</v>
      </c>
      <c r="BQ2187" t="s">
        <v>466</v>
      </c>
      <c r="BR2187" t="s">
        <v>97</v>
      </c>
      <c r="BS2187" s="3">
        <v>45951</v>
      </c>
      <c r="BT2187" s="4">
        <v>0.38750000000000001</v>
      </c>
      <c r="BU2187" t="s">
        <v>1658</v>
      </c>
      <c r="BV2187" t="s">
        <v>86</v>
      </c>
      <c r="BY2187">
        <v>4645.08</v>
      </c>
      <c r="CA2187" t="s">
        <v>519</v>
      </c>
      <c r="CC2187" t="s">
        <v>149</v>
      </c>
      <c r="CD2187">
        <v>2094</v>
      </c>
      <c r="CE2187" t="s">
        <v>191</v>
      </c>
      <c r="CF2187" s="3">
        <v>45951</v>
      </c>
      <c r="CI2187">
        <v>1</v>
      </c>
      <c r="CJ2187">
        <v>1</v>
      </c>
      <c r="CK2187">
        <v>22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"080068626085"</f>
        <v>080068626085</v>
      </c>
      <c r="F2188" s="3">
        <v>45950</v>
      </c>
      <c r="G2188">
        <v>202607</v>
      </c>
      <c r="H2188" t="s">
        <v>79</v>
      </c>
      <c r="I2188" t="s">
        <v>80</v>
      </c>
      <c r="J2188" t="s">
        <v>91</v>
      </c>
      <c r="K2188" t="s">
        <v>78</v>
      </c>
      <c r="L2188" t="s">
        <v>108</v>
      </c>
      <c r="M2188" t="s">
        <v>109</v>
      </c>
      <c r="N2188" t="s">
        <v>440</v>
      </c>
      <c r="O2188" t="s">
        <v>82</v>
      </c>
      <c r="P2188" t="str">
        <f>"4170064942                    "</f>
        <v xml:space="preserve">4170064942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22.36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70.959999999999994</v>
      </c>
      <c r="BM2188">
        <v>10.64</v>
      </c>
      <c r="BN2188">
        <v>81.599999999999994</v>
      </c>
      <c r="BO2188">
        <v>81.599999999999994</v>
      </c>
      <c r="BQ2188" t="s">
        <v>441</v>
      </c>
      <c r="BR2188" t="s">
        <v>97</v>
      </c>
      <c r="BS2188" s="3">
        <v>45951</v>
      </c>
      <c r="BT2188" s="4">
        <v>0.4152777777777778</v>
      </c>
      <c r="BU2188" t="s">
        <v>400</v>
      </c>
      <c r="BV2188" t="s">
        <v>86</v>
      </c>
      <c r="BY2188">
        <v>1200</v>
      </c>
      <c r="CA2188" t="s">
        <v>113</v>
      </c>
      <c r="CC2188" t="s">
        <v>109</v>
      </c>
      <c r="CD2188">
        <v>6001</v>
      </c>
      <c r="CE2188" t="s">
        <v>1955</v>
      </c>
      <c r="CF2188" s="3">
        <v>45951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"080068626098"</f>
        <v>080068626098</v>
      </c>
      <c r="F2189" s="3">
        <v>45950</v>
      </c>
      <c r="G2189">
        <v>202607</v>
      </c>
      <c r="H2189" t="s">
        <v>79</v>
      </c>
      <c r="I2189" t="s">
        <v>80</v>
      </c>
      <c r="J2189" t="s">
        <v>91</v>
      </c>
      <c r="K2189" t="s">
        <v>78</v>
      </c>
      <c r="L2189" t="s">
        <v>763</v>
      </c>
      <c r="M2189" t="s">
        <v>764</v>
      </c>
      <c r="N2189" t="s">
        <v>765</v>
      </c>
      <c r="O2189" t="s">
        <v>82</v>
      </c>
      <c r="P2189" t="str">
        <f>"4170064899                    "</f>
        <v xml:space="preserve">4170064899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43.31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0.7</v>
      </c>
      <c r="BJ2189">
        <v>1</v>
      </c>
      <c r="BK2189">
        <v>1</v>
      </c>
      <c r="BL2189">
        <v>137.47</v>
      </c>
      <c r="BM2189">
        <v>20.62</v>
      </c>
      <c r="BN2189">
        <v>158.09</v>
      </c>
      <c r="BO2189">
        <v>158.09</v>
      </c>
      <c r="BQ2189" t="s">
        <v>766</v>
      </c>
      <c r="BR2189" t="s">
        <v>97</v>
      </c>
      <c r="BS2189" s="3">
        <v>45951</v>
      </c>
      <c r="BT2189" s="4">
        <v>0.44513888888888886</v>
      </c>
      <c r="BU2189" t="s">
        <v>2837</v>
      </c>
      <c r="BV2189" t="s">
        <v>86</v>
      </c>
      <c r="BY2189">
        <v>5197.2</v>
      </c>
      <c r="CA2189" t="s">
        <v>2829</v>
      </c>
      <c r="CC2189" t="s">
        <v>764</v>
      </c>
      <c r="CD2189">
        <v>2531</v>
      </c>
      <c r="CE2189" t="s">
        <v>191</v>
      </c>
      <c r="CF2189" s="3">
        <v>45952</v>
      </c>
      <c r="CI2189">
        <v>1</v>
      </c>
      <c r="CJ2189">
        <v>1</v>
      </c>
      <c r="CK2189">
        <v>23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"080068626117"</f>
        <v>080068626117</v>
      </c>
      <c r="F2190" s="3">
        <v>45950</v>
      </c>
      <c r="G2190">
        <v>202607</v>
      </c>
      <c r="H2190" t="s">
        <v>79</v>
      </c>
      <c r="I2190" t="s">
        <v>80</v>
      </c>
      <c r="J2190" t="s">
        <v>91</v>
      </c>
      <c r="K2190" t="s">
        <v>78</v>
      </c>
      <c r="L2190" t="s">
        <v>102</v>
      </c>
      <c r="M2190" t="s">
        <v>103</v>
      </c>
      <c r="N2190" t="s">
        <v>618</v>
      </c>
      <c r="O2190" t="s">
        <v>82</v>
      </c>
      <c r="P2190" t="str">
        <f>"4170064866                    "</f>
        <v xml:space="preserve">4170064866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17.46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0.5</v>
      </c>
      <c r="BJ2190">
        <v>1</v>
      </c>
      <c r="BK2190">
        <v>1</v>
      </c>
      <c r="BL2190">
        <v>55.42</v>
      </c>
      <c r="BM2190">
        <v>8.31</v>
      </c>
      <c r="BN2190">
        <v>63.73</v>
      </c>
      <c r="BO2190">
        <v>63.73</v>
      </c>
      <c r="BQ2190" t="s">
        <v>619</v>
      </c>
      <c r="BR2190" t="s">
        <v>97</v>
      </c>
      <c r="BS2190" s="3">
        <v>45951</v>
      </c>
      <c r="BT2190" s="4">
        <v>0.34583333333333333</v>
      </c>
      <c r="BU2190" t="s">
        <v>2838</v>
      </c>
      <c r="BV2190" t="s">
        <v>86</v>
      </c>
      <c r="BY2190">
        <v>5031.3</v>
      </c>
      <c r="CC2190" t="s">
        <v>103</v>
      </c>
      <c r="CD2190">
        <v>1451</v>
      </c>
      <c r="CE2190" t="s">
        <v>191</v>
      </c>
      <c r="CF2190" s="3">
        <v>45951</v>
      </c>
      <c r="CI2190">
        <v>1</v>
      </c>
      <c r="CJ2190">
        <v>1</v>
      </c>
      <c r="CK2190">
        <v>22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"080068626152"</f>
        <v>080068626152</v>
      </c>
      <c r="F2191" s="3">
        <v>45950</v>
      </c>
      <c r="G2191">
        <v>202607</v>
      </c>
      <c r="H2191" t="s">
        <v>79</v>
      </c>
      <c r="I2191" t="s">
        <v>80</v>
      </c>
      <c r="J2191" t="s">
        <v>91</v>
      </c>
      <c r="K2191" t="s">
        <v>78</v>
      </c>
      <c r="L2191" t="s">
        <v>453</v>
      </c>
      <c r="M2191" t="s">
        <v>454</v>
      </c>
      <c r="N2191" t="s">
        <v>665</v>
      </c>
      <c r="O2191" t="s">
        <v>82</v>
      </c>
      <c r="P2191" t="str">
        <f>"4170064869                    "</f>
        <v xml:space="preserve">4170064869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22.36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70.959999999999994</v>
      </c>
      <c r="BM2191">
        <v>10.64</v>
      </c>
      <c r="BN2191">
        <v>81.599999999999994</v>
      </c>
      <c r="BO2191">
        <v>81.599999999999994</v>
      </c>
      <c r="BQ2191" t="s">
        <v>666</v>
      </c>
      <c r="BR2191" t="s">
        <v>97</v>
      </c>
      <c r="BS2191" s="3">
        <v>45951</v>
      </c>
      <c r="BT2191" s="4">
        <v>0.42708333333333331</v>
      </c>
      <c r="BU2191" t="s">
        <v>667</v>
      </c>
      <c r="BV2191" t="s">
        <v>86</v>
      </c>
      <c r="BY2191">
        <v>1200</v>
      </c>
      <c r="CA2191" t="s">
        <v>742</v>
      </c>
      <c r="CC2191" t="s">
        <v>454</v>
      </c>
      <c r="CD2191">
        <v>3610</v>
      </c>
      <c r="CE2191" t="s">
        <v>1955</v>
      </c>
      <c r="CF2191" s="3">
        <v>45951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"080068626179"</f>
        <v>080068626179</v>
      </c>
      <c r="F2192" s="3">
        <v>45950</v>
      </c>
      <c r="G2192">
        <v>202607</v>
      </c>
      <c r="H2192" t="s">
        <v>79</v>
      </c>
      <c r="I2192" t="s">
        <v>80</v>
      </c>
      <c r="J2192" t="s">
        <v>91</v>
      </c>
      <c r="K2192" t="s">
        <v>78</v>
      </c>
      <c r="L2192" t="s">
        <v>121</v>
      </c>
      <c r="M2192" t="s">
        <v>122</v>
      </c>
      <c r="N2192" t="s">
        <v>707</v>
      </c>
      <c r="O2192" t="s">
        <v>82</v>
      </c>
      <c r="P2192" t="str">
        <f>"4170064936                    "</f>
        <v xml:space="preserve">4170064936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22.36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70.959999999999994</v>
      </c>
      <c r="BM2192">
        <v>10.64</v>
      </c>
      <c r="BN2192">
        <v>81.599999999999994</v>
      </c>
      <c r="BO2192">
        <v>81.599999999999994</v>
      </c>
      <c r="BQ2192" t="s">
        <v>1229</v>
      </c>
      <c r="BR2192" t="s">
        <v>97</v>
      </c>
      <c r="BS2192" s="3">
        <v>45951</v>
      </c>
      <c r="BT2192" s="4">
        <v>0.39374999999999999</v>
      </c>
      <c r="BU2192" t="s">
        <v>2834</v>
      </c>
      <c r="BV2192" t="s">
        <v>86</v>
      </c>
      <c r="BY2192">
        <v>1200</v>
      </c>
      <c r="CA2192" t="s">
        <v>2451</v>
      </c>
      <c r="CC2192" t="s">
        <v>122</v>
      </c>
      <c r="CD2192">
        <v>4001</v>
      </c>
      <c r="CE2192" t="s">
        <v>147</v>
      </c>
      <c r="CF2192" s="3">
        <v>45951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"080068626191"</f>
        <v>080068626191</v>
      </c>
      <c r="F2193" s="3">
        <v>45950</v>
      </c>
      <c r="G2193">
        <v>202607</v>
      </c>
      <c r="H2193" t="s">
        <v>79</v>
      </c>
      <c r="I2193" t="s">
        <v>80</v>
      </c>
      <c r="J2193" t="s">
        <v>91</v>
      </c>
      <c r="K2193" t="s">
        <v>78</v>
      </c>
      <c r="L2193" t="s">
        <v>206</v>
      </c>
      <c r="M2193" t="s">
        <v>207</v>
      </c>
      <c r="N2193" t="s">
        <v>656</v>
      </c>
      <c r="O2193" t="s">
        <v>82</v>
      </c>
      <c r="P2193" t="str">
        <f>"4170064887                    "</f>
        <v xml:space="preserve">4170064887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22.36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70.959999999999994</v>
      </c>
      <c r="BM2193">
        <v>10.64</v>
      </c>
      <c r="BN2193">
        <v>81.599999999999994</v>
      </c>
      <c r="BO2193">
        <v>81.599999999999994</v>
      </c>
      <c r="BQ2193" t="s">
        <v>657</v>
      </c>
      <c r="BR2193" t="s">
        <v>97</v>
      </c>
      <c r="BS2193" s="3">
        <v>45951</v>
      </c>
      <c r="BT2193" s="4">
        <v>0.41597222222222224</v>
      </c>
      <c r="BU2193" t="s">
        <v>658</v>
      </c>
      <c r="BV2193" t="s">
        <v>86</v>
      </c>
      <c r="BY2193">
        <v>1200</v>
      </c>
      <c r="CA2193" t="s">
        <v>211</v>
      </c>
      <c r="CC2193" t="s">
        <v>207</v>
      </c>
      <c r="CD2193">
        <v>7441</v>
      </c>
      <c r="CE2193" t="s">
        <v>147</v>
      </c>
      <c r="CF2193" s="3">
        <v>45952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"080068626205"</f>
        <v>080068626205</v>
      </c>
      <c r="F2194" s="3">
        <v>45950</v>
      </c>
      <c r="G2194">
        <v>202607</v>
      </c>
      <c r="H2194" t="s">
        <v>79</v>
      </c>
      <c r="I2194" t="s">
        <v>80</v>
      </c>
      <c r="J2194" t="s">
        <v>91</v>
      </c>
      <c r="K2194" t="s">
        <v>78</v>
      </c>
      <c r="L2194" t="s">
        <v>168</v>
      </c>
      <c r="M2194" t="s">
        <v>169</v>
      </c>
      <c r="N2194" t="s">
        <v>923</v>
      </c>
      <c r="O2194" t="s">
        <v>82</v>
      </c>
      <c r="P2194" t="str">
        <f>"4170065073                    "</f>
        <v xml:space="preserve">4170065073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22.36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70.959999999999994</v>
      </c>
      <c r="BM2194">
        <v>10.64</v>
      </c>
      <c r="BN2194">
        <v>81.599999999999994</v>
      </c>
      <c r="BO2194">
        <v>81.599999999999994</v>
      </c>
      <c r="BQ2194" t="s">
        <v>924</v>
      </c>
      <c r="BR2194" t="s">
        <v>97</v>
      </c>
      <c r="BS2194" s="3">
        <v>45951</v>
      </c>
      <c r="BT2194" s="4">
        <v>0.31874999999999998</v>
      </c>
      <c r="BU2194" t="s">
        <v>925</v>
      </c>
      <c r="BV2194" t="s">
        <v>86</v>
      </c>
      <c r="BY2194">
        <v>1200</v>
      </c>
      <c r="CA2194">
        <v>9107126013089</v>
      </c>
      <c r="CC2194" t="s">
        <v>169</v>
      </c>
      <c r="CD2194" s="5" t="s">
        <v>926</v>
      </c>
      <c r="CE2194" t="s">
        <v>1955</v>
      </c>
      <c r="CF2194" s="3">
        <v>45951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"080068626216"</f>
        <v>080068626216</v>
      </c>
      <c r="F2195" s="3">
        <v>45950</v>
      </c>
      <c r="G2195">
        <v>202607</v>
      </c>
      <c r="H2195" t="s">
        <v>79</v>
      </c>
      <c r="I2195" t="s">
        <v>80</v>
      </c>
      <c r="J2195" t="s">
        <v>91</v>
      </c>
      <c r="K2195" t="s">
        <v>78</v>
      </c>
      <c r="L2195" t="s">
        <v>108</v>
      </c>
      <c r="M2195" t="s">
        <v>109</v>
      </c>
      <c r="N2195" t="s">
        <v>312</v>
      </c>
      <c r="O2195" t="s">
        <v>82</v>
      </c>
      <c r="P2195" t="str">
        <f>"4170065074                    "</f>
        <v xml:space="preserve">4170065074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22.36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0.9</v>
      </c>
      <c r="BK2195">
        <v>1</v>
      </c>
      <c r="BL2195">
        <v>70.959999999999994</v>
      </c>
      <c r="BM2195">
        <v>10.64</v>
      </c>
      <c r="BN2195">
        <v>81.599999999999994</v>
      </c>
      <c r="BO2195">
        <v>81.599999999999994</v>
      </c>
      <c r="BQ2195" t="s">
        <v>313</v>
      </c>
      <c r="BR2195" t="s">
        <v>97</v>
      </c>
      <c r="BS2195" s="3">
        <v>45951</v>
      </c>
      <c r="BT2195" s="4">
        <v>0.35972222222222222</v>
      </c>
      <c r="BU2195" t="s">
        <v>2839</v>
      </c>
      <c r="BV2195" t="s">
        <v>86</v>
      </c>
      <c r="BY2195">
        <v>4275</v>
      </c>
      <c r="CA2195" t="s">
        <v>142</v>
      </c>
      <c r="CC2195" t="s">
        <v>109</v>
      </c>
      <c r="CD2195">
        <v>6001</v>
      </c>
      <c r="CE2195" t="s">
        <v>191</v>
      </c>
      <c r="CF2195" s="3">
        <v>45951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"080068626262"</f>
        <v>080068626262</v>
      </c>
      <c r="F2196" s="3">
        <v>45950</v>
      </c>
      <c r="G2196">
        <v>202607</v>
      </c>
      <c r="H2196" t="s">
        <v>79</v>
      </c>
      <c r="I2196" t="s">
        <v>80</v>
      </c>
      <c r="J2196" t="s">
        <v>91</v>
      </c>
      <c r="K2196" t="s">
        <v>78</v>
      </c>
      <c r="L2196" t="s">
        <v>453</v>
      </c>
      <c r="M2196" t="s">
        <v>454</v>
      </c>
      <c r="N2196" t="s">
        <v>455</v>
      </c>
      <c r="O2196" t="s">
        <v>82</v>
      </c>
      <c r="P2196" t="str">
        <f>"4170064923                    "</f>
        <v xml:space="preserve">4170064923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22.36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0.7</v>
      </c>
      <c r="BJ2196">
        <v>0.9</v>
      </c>
      <c r="BK2196">
        <v>1</v>
      </c>
      <c r="BL2196">
        <v>70.959999999999994</v>
      </c>
      <c r="BM2196">
        <v>10.64</v>
      </c>
      <c r="BN2196">
        <v>81.599999999999994</v>
      </c>
      <c r="BO2196">
        <v>81.599999999999994</v>
      </c>
      <c r="BQ2196" t="s">
        <v>456</v>
      </c>
      <c r="BR2196" t="s">
        <v>97</v>
      </c>
      <c r="BS2196" s="3">
        <v>45951</v>
      </c>
      <c r="BT2196" s="4">
        <v>0.66805555555555551</v>
      </c>
      <c r="BU2196" t="s">
        <v>2840</v>
      </c>
      <c r="BV2196" t="s">
        <v>90</v>
      </c>
      <c r="BY2196">
        <v>4451.79</v>
      </c>
      <c r="CA2196" t="s">
        <v>742</v>
      </c>
      <c r="CC2196" t="s">
        <v>454</v>
      </c>
      <c r="CD2196">
        <v>3608</v>
      </c>
      <c r="CE2196" t="s">
        <v>191</v>
      </c>
      <c r="CF2196" s="3">
        <v>45951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"080068626286"</f>
        <v>080068626286</v>
      </c>
      <c r="F2197" s="3">
        <v>45950</v>
      </c>
      <c r="G2197">
        <v>202607</v>
      </c>
      <c r="H2197" t="s">
        <v>79</v>
      </c>
      <c r="I2197" t="s">
        <v>80</v>
      </c>
      <c r="J2197" t="s">
        <v>91</v>
      </c>
      <c r="K2197" t="s">
        <v>78</v>
      </c>
      <c r="L2197" t="s">
        <v>75</v>
      </c>
      <c r="M2197" t="s">
        <v>76</v>
      </c>
      <c r="N2197" t="s">
        <v>1425</v>
      </c>
      <c r="O2197" t="s">
        <v>226</v>
      </c>
      <c r="P2197" t="str">
        <f>"4170064838                    "</f>
        <v xml:space="preserve">4170064838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17.47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6.5</v>
      </c>
      <c r="BJ2197">
        <v>3.9</v>
      </c>
      <c r="BK2197">
        <v>7</v>
      </c>
      <c r="BL2197">
        <v>55.44</v>
      </c>
      <c r="BM2197">
        <v>8.32</v>
      </c>
      <c r="BN2197">
        <v>63.76</v>
      </c>
      <c r="BO2197">
        <v>63.76</v>
      </c>
      <c r="BQ2197" t="s">
        <v>1426</v>
      </c>
      <c r="BR2197" t="s">
        <v>97</v>
      </c>
      <c r="BS2197" s="3">
        <v>45951</v>
      </c>
      <c r="BT2197" s="4">
        <v>0.42222222222222222</v>
      </c>
      <c r="BU2197" t="s">
        <v>2841</v>
      </c>
      <c r="BV2197" t="s">
        <v>86</v>
      </c>
      <c r="BY2197">
        <v>19615.37</v>
      </c>
      <c r="CA2197" t="s">
        <v>1284</v>
      </c>
      <c r="CC2197" t="s">
        <v>76</v>
      </c>
      <c r="CD2197">
        <v>2170</v>
      </c>
      <c r="CE2197" t="s">
        <v>107</v>
      </c>
      <c r="CF2197" s="3">
        <v>45952</v>
      </c>
      <c r="CI2197">
        <v>1</v>
      </c>
      <c r="CJ2197">
        <v>1</v>
      </c>
      <c r="CK2197">
        <v>32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"080068640157"</f>
        <v>080068640157</v>
      </c>
      <c r="F2198" s="3">
        <v>45951</v>
      </c>
      <c r="G2198">
        <v>202607</v>
      </c>
      <c r="H2198" t="s">
        <v>79</v>
      </c>
      <c r="I2198" t="s">
        <v>80</v>
      </c>
      <c r="J2198" t="s">
        <v>91</v>
      </c>
      <c r="K2198" t="s">
        <v>78</v>
      </c>
      <c r="L2198" t="s">
        <v>168</v>
      </c>
      <c r="M2198" t="s">
        <v>169</v>
      </c>
      <c r="N2198" t="s">
        <v>774</v>
      </c>
      <c r="O2198" t="s">
        <v>82</v>
      </c>
      <c r="P2198" t="str">
        <f>"4170064837                    "</f>
        <v xml:space="preserve">4170064837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22.36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0.5</v>
      </c>
      <c r="BJ2198">
        <v>0.6</v>
      </c>
      <c r="BK2198">
        <v>1</v>
      </c>
      <c r="BL2198">
        <v>70.959999999999994</v>
      </c>
      <c r="BM2198">
        <v>10.64</v>
      </c>
      <c r="BN2198">
        <v>81.599999999999994</v>
      </c>
      <c r="BO2198">
        <v>81.599999999999994</v>
      </c>
      <c r="BQ2198" t="s">
        <v>775</v>
      </c>
      <c r="BR2198" t="s">
        <v>97</v>
      </c>
      <c r="BS2198" s="3">
        <v>45952</v>
      </c>
      <c r="BT2198" s="4">
        <v>0.39027777777777778</v>
      </c>
      <c r="BU2198" t="s">
        <v>1049</v>
      </c>
      <c r="BV2198" t="s">
        <v>86</v>
      </c>
      <c r="BY2198">
        <v>2957.35</v>
      </c>
      <c r="CA2198">
        <v>8303236124087</v>
      </c>
      <c r="CC2198" t="s">
        <v>169</v>
      </c>
      <c r="CD2198" s="5" t="s">
        <v>190</v>
      </c>
      <c r="CE2198" t="s">
        <v>191</v>
      </c>
      <c r="CF2198" s="3">
        <v>45952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"080068640204"</f>
        <v>080068640204</v>
      </c>
      <c r="F2199" s="3">
        <v>45951</v>
      </c>
      <c r="G2199">
        <v>202607</v>
      </c>
      <c r="H2199" t="s">
        <v>79</v>
      </c>
      <c r="I2199" t="s">
        <v>80</v>
      </c>
      <c r="J2199" t="s">
        <v>91</v>
      </c>
      <c r="K2199" t="s">
        <v>78</v>
      </c>
      <c r="L2199" t="s">
        <v>79</v>
      </c>
      <c r="M2199" t="s">
        <v>80</v>
      </c>
      <c r="N2199" t="s">
        <v>163</v>
      </c>
      <c r="O2199" t="s">
        <v>82</v>
      </c>
      <c r="P2199" t="str">
        <f>"4170064874                    "</f>
        <v xml:space="preserve">4170064874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17.46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1.9</v>
      </c>
      <c r="BJ2199">
        <v>0.7</v>
      </c>
      <c r="BK2199">
        <v>2</v>
      </c>
      <c r="BL2199">
        <v>55.42</v>
      </c>
      <c r="BM2199">
        <v>8.31</v>
      </c>
      <c r="BN2199">
        <v>63.73</v>
      </c>
      <c r="BO2199">
        <v>63.73</v>
      </c>
      <c r="BQ2199" t="s">
        <v>164</v>
      </c>
      <c r="BR2199" t="s">
        <v>97</v>
      </c>
      <c r="BS2199" s="3">
        <v>45952</v>
      </c>
      <c r="BT2199" s="4">
        <v>0.3611111111111111</v>
      </c>
      <c r="BU2199" t="s">
        <v>579</v>
      </c>
      <c r="BV2199" t="s">
        <v>86</v>
      </c>
      <c r="BY2199">
        <v>3674.3</v>
      </c>
      <c r="CA2199" t="s">
        <v>166</v>
      </c>
      <c r="CC2199" t="s">
        <v>80</v>
      </c>
      <c r="CD2199">
        <v>1600</v>
      </c>
      <c r="CE2199" t="s">
        <v>191</v>
      </c>
      <c r="CF2199" s="3">
        <v>45953</v>
      </c>
      <c r="CI2199">
        <v>1</v>
      </c>
      <c r="CJ2199">
        <v>1</v>
      </c>
      <c r="CK2199">
        <v>22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"080068640250"</f>
        <v>080068640250</v>
      </c>
      <c r="F2200" s="3">
        <v>45951</v>
      </c>
      <c r="G2200">
        <v>202607</v>
      </c>
      <c r="H2200" t="s">
        <v>79</v>
      </c>
      <c r="I2200" t="s">
        <v>80</v>
      </c>
      <c r="J2200" t="s">
        <v>91</v>
      </c>
      <c r="K2200" t="s">
        <v>78</v>
      </c>
      <c r="L2200" t="s">
        <v>605</v>
      </c>
      <c r="M2200" t="s">
        <v>606</v>
      </c>
      <c r="N2200" t="s">
        <v>607</v>
      </c>
      <c r="O2200" t="s">
        <v>82</v>
      </c>
      <c r="P2200" t="str">
        <f>"4170064854                    "</f>
        <v xml:space="preserve">4170064854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43.31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137.47</v>
      </c>
      <c r="BM2200">
        <v>20.62</v>
      </c>
      <c r="BN2200">
        <v>158.09</v>
      </c>
      <c r="BO2200">
        <v>158.09</v>
      </c>
      <c r="BQ2200" t="s">
        <v>608</v>
      </c>
      <c r="BR2200" t="s">
        <v>97</v>
      </c>
      <c r="BS2200" s="3">
        <v>45952</v>
      </c>
      <c r="BT2200" s="4">
        <v>0.3298611111111111</v>
      </c>
      <c r="BU2200" t="s">
        <v>609</v>
      </c>
      <c r="BV2200" t="s">
        <v>86</v>
      </c>
      <c r="BY2200">
        <v>1200</v>
      </c>
      <c r="CA2200" t="s">
        <v>1143</v>
      </c>
      <c r="CC2200" t="s">
        <v>606</v>
      </c>
      <c r="CD2200">
        <v>1947</v>
      </c>
      <c r="CE2200" t="s">
        <v>147</v>
      </c>
      <c r="CF2200" s="3">
        <v>45952</v>
      </c>
      <c r="CI2200">
        <v>1</v>
      </c>
      <c r="CJ2200">
        <v>1</v>
      </c>
      <c r="CK2200">
        <v>23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"080068640383"</f>
        <v>080068640383</v>
      </c>
      <c r="F2201" s="3">
        <v>45951</v>
      </c>
      <c r="G2201">
        <v>202607</v>
      </c>
      <c r="H2201" t="s">
        <v>79</v>
      </c>
      <c r="I2201" t="s">
        <v>80</v>
      </c>
      <c r="J2201" t="s">
        <v>91</v>
      </c>
      <c r="K2201" t="s">
        <v>78</v>
      </c>
      <c r="L2201" t="s">
        <v>542</v>
      </c>
      <c r="M2201" t="s">
        <v>543</v>
      </c>
      <c r="N2201" t="s">
        <v>2842</v>
      </c>
      <c r="O2201" t="s">
        <v>82</v>
      </c>
      <c r="P2201" t="str">
        <f>"4170064882                    "</f>
        <v xml:space="preserve">4170064882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17.46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55.42</v>
      </c>
      <c r="BM2201">
        <v>8.31</v>
      </c>
      <c r="BN2201">
        <v>63.73</v>
      </c>
      <c r="BO2201">
        <v>63.73</v>
      </c>
      <c r="BQ2201" t="s">
        <v>2843</v>
      </c>
      <c r="BR2201" t="s">
        <v>97</v>
      </c>
      <c r="BS2201" s="3">
        <v>45952</v>
      </c>
      <c r="BT2201" s="4">
        <v>0.40277777777777779</v>
      </c>
      <c r="BU2201" t="s">
        <v>2844</v>
      </c>
      <c r="BV2201" t="s">
        <v>86</v>
      </c>
      <c r="BY2201">
        <v>1200</v>
      </c>
      <c r="CA2201" t="s">
        <v>547</v>
      </c>
      <c r="CC2201" t="s">
        <v>543</v>
      </c>
      <c r="CD2201">
        <v>1682</v>
      </c>
      <c r="CE2201" t="s">
        <v>147</v>
      </c>
      <c r="CF2201" s="3">
        <v>45953</v>
      </c>
      <c r="CI2201">
        <v>1</v>
      </c>
      <c r="CJ2201">
        <v>1</v>
      </c>
      <c r="CK2201">
        <v>22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"080068640579"</f>
        <v>080068640579</v>
      </c>
      <c r="F2202" s="3">
        <v>45951</v>
      </c>
      <c r="G2202">
        <v>202607</v>
      </c>
      <c r="H2202" t="s">
        <v>79</v>
      </c>
      <c r="I2202" t="s">
        <v>80</v>
      </c>
      <c r="J2202" t="s">
        <v>91</v>
      </c>
      <c r="K2202" t="s">
        <v>78</v>
      </c>
      <c r="L2202" t="s">
        <v>322</v>
      </c>
      <c r="M2202" t="s">
        <v>322</v>
      </c>
      <c r="N2202" t="s">
        <v>483</v>
      </c>
      <c r="O2202" t="s">
        <v>82</v>
      </c>
      <c r="P2202" t="str">
        <f>"4170064895                    "</f>
        <v xml:space="preserve">4170064895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111.77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2</v>
      </c>
      <c r="BJ2202">
        <v>5.5</v>
      </c>
      <c r="BK2202">
        <v>5.5</v>
      </c>
      <c r="BL2202">
        <v>354.75</v>
      </c>
      <c r="BM2202">
        <v>53.21</v>
      </c>
      <c r="BN2202">
        <v>407.96</v>
      </c>
      <c r="BO2202">
        <v>407.96</v>
      </c>
      <c r="BQ2202" t="s">
        <v>486</v>
      </c>
      <c r="BR2202" t="s">
        <v>97</v>
      </c>
      <c r="BS2202" s="3">
        <v>45952</v>
      </c>
      <c r="BT2202" s="4">
        <v>0.53749999999999998</v>
      </c>
      <c r="BU2202" t="s">
        <v>485</v>
      </c>
      <c r="BV2202" t="s">
        <v>86</v>
      </c>
      <c r="BY2202">
        <v>27342</v>
      </c>
      <c r="CA2202" t="s">
        <v>326</v>
      </c>
      <c r="CC2202" t="s">
        <v>322</v>
      </c>
      <c r="CD2202">
        <v>7646</v>
      </c>
      <c r="CE2202" t="s">
        <v>107</v>
      </c>
      <c r="CF2202" s="3">
        <v>45953</v>
      </c>
      <c r="CI2202">
        <v>1</v>
      </c>
      <c r="CJ2202">
        <v>1</v>
      </c>
      <c r="CK2202">
        <v>23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"080068640612"</f>
        <v>080068640612</v>
      </c>
      <c r="F2203" s="3">
        <v>45951</v>
      </c>
      <c r="G2203">
        <v>202607</v>
      </c>
      <c r="H2203" t="s">
        <v>79</v>
      </c>
      <c r="I2203" t="s">
        <v>80</v>
      </c>
      <c r="J2203" t="s">
        <v>91</v>
      </c>
      <c r="K2203" t="s">
        <v>78</v>
      </c>
      <c r="L2203" t="s">
        <v>121</v>
      </c>
      <c r="M2203" t="s">
        <v>122</v>
      </c>
      <c r="N2203" t="s">
        <v>123</v>
      </c>
      <c r="O2203" t="s">
        <v>82</v>
      </c>
      <c r="P2203" t="str">
        <f>"4170064903                    "</f>
        <v xml:space="preserve">4170064903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44.69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3.8</v>
      </c>
      <c r="BK2203">
        <v>4</v>
      </c>
      <c r="BL2203">
        <v>141.85</v>
      </c>
      <c r="BM2203">
        <v>21.28</v>
      </c>
      <c r="BN2203">
        <v>163.13</v>
      </c>
      <c r="BO2203">
        <v>163.13</v>
      </c>
      <c r="BQ2203" t="s">
        <v>124</v>
      </c>
      <c r="BR2203" t="s">
        <v>97</v>
      </c>
      <c r="BS2203" s="3">
        <v>45952</v>
      </c>
      <c r="BT2203" s="4">
        <v>0.35486111111111113</v>
      </c>
      <c r="BU2203" t="s">
        <v>1611</v>
      </c>
      <c r="BV2203" t="s">
        <v>86</v>
      </c>
      <c r="BY2203">
        <v>19227</v>
      </c>
      <c r="CA2203" t="s">
        <v>126</v>
      </c>
      <c r="CC2203" t="s">
        <v>122</v>
      </c>
      <c r="CD2203">
        <v>4051</v>
      </c>
      <c r="CE2203" t="s">
        <v>191</v>
      </c>
      <c r="CF2203" s="3">
        <v>45952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"080068641505"</f>
        <v>080068641505</v>
      </c>
      <c r="F2204" s="3">
        <v>45951</v>
      </c>
      <c r="G2204">
        <v>202607</v>
      </c>
      <c r="H2204" t="s">
        <v>79</v>
      </c>
      <c r="I2204" t="s">
        <v>80</v>
      </c>
      <c r="J2204" t="s">
        <v>91</v>
      </c>
      <c r="K2204" t="s">
        <v>78</v>
      </c>
      <c r="L2204" t="s">
        <v>92</v>
      </c>
      <c r="M2204" t="s">
        <v>93</v>
      </c>
      <c r="N2204" t="s">
        <v>1871</v>
      </c>
      <c r="O2204" t="s">
        <v>95</v>
      </c>
      <c r="P2204" t="str">
        <f>"4170065169                    "</f>
        <v xml:space="preserve">4170065169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43.23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16.739999999999998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2</v>
      </c>
      <c r="BJ2204">
        <v>1.4</v>
      </c>
      <c r="BK2204">
        <v>2</v>
      </c>
      <c r="BL2204">
        <v>159.82</v>
      </c>
      <c r="BM2204">
        <v>23.97</v>
      </c>
      <c r="BN2204">
        <v>183.79</v>
      </c>
      <c r="BO2204">
        <v>183.79</v>
      </c>
      <c r="BQ2204" t="s">
        <v>1872</v>
      </c>
      <c r="BR2204" t="s">
        <v>97</v>
      </c>
      <c r="BS2204" s="3">
        <v>45952</v>
      </c>
      <c r="BT2204" s="4">
        <v>0.41666666666666669</v>
      </c>
      <c r="BU2204" t="s">
        <v>2845</v>
      </c>
      <c r="BV2204" t="s">
        <v>86</v>
      </c>
      <c r="BY2204">
        <v>6900</v>
      </c>
      <c r="BZ2204" t="s">
        <v>30</v>
      </c>
      <c r="CA2204" t="s">
        <v>2526</v>
      </c>
      <c r="CC2204" t="s">
        <v>93</v>
      </c>
      <c r="CD2204">
        <v>3699</v>
      </c>
      <c r="CE2204" t="s">
        <v>1435</v>
      </c>
      <c r="CF2204" s="3">
        <v>45952</v>
      </c>
      <c r="CI2204">
        <v>2</v>
      </c>
      <c r="CJ2204">
        <v>1</v>
      </c>
      <c r="CK2204">
        <v>41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"080068641512"</f>
        <v>080068641512</v>
      </c>
      <c r="F2205" s="3">
        <v>45951</v>
      </c>
      <c r="G2205">
        <v>202607</v>
      </c>
      <c r="H2205" t="s">
        <v>79</v>
      </c>
      <c r="I2205" t="s">
        <v>80</v>
      </c>
      <c r="J2205" t="s">
        <v>91</v>
      </c>
      <c r="K2205" t="s">
        <v>78</v>
      </c>
      <c r="L2205" t="s">
        <v>168</v>
      </c>
      <c r="M2205" t="s">
        <v>169</v>
      </c>
      <c r="N2205" t="s">
        <v>1218</v>
      </c>
      <c r="O2205" t="s">
        <v>95</v>
      </c>
      <c r="P2205" t="str">
        <f>"4170065031                    "</f>
        <v xml:space="preserve">4170065031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50.37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19</v>
      </c>
      <c r="BJ2205">
        <v>9.3000000000000007</v>
      </c>
      <c r="BK2205">
        <v>19</v>
      </c>
      <c r="BL2205">
        <v>165.74</v>
      </c>
      <c r="BM2205">
        <v>24.86</v>
      </c>
      <c r="BN2205">
        <v>190.6</v>
      </c>
      <c r="BO2205">
        <v>190.6</v>
      </c>
      <c r="BQ2205" t="s">
        <v>1219</v>
      </c>
      <c r="BR2205" t="s">
        <v>97</v>
      </c>
      <c r="BS2205" s="3">
        <v>45952</v>
      </c>
      <c r="BT2205" s="4">
        <v>0.40555555555555556</v>
      </c>
      <c r="BU2205" t="s">
        <v>2846</v>
      </c>
      <c r="BV2205" t="s">
        <v>86</v>
      </c>
      <c r="BY2205">
        <v>46493.19</v>
      </c>
      <c r="CA2205" s="5" t="s">
        <v>2847</v>
      </c>
      <c r="CC2205" t="s">
        <v>169</v>
      </c>
      <c r="CD2205" s="5" t="s">
        <v>1061</v>
      </c>
      <c r="CE2205" t="s">
        <v>191</v>
      </c>
      <c r="CF2205" s="3">
        <v>45952</v>
      </c>
      <c r="CI2205">
        <v>1</v>
      </c>
      <c r="CJ2205">
        <v>1</v>
      </c>
      <c r="CK2205">
        <v>41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"080068641541"</f>
        <v>080068641541</v>
      </c>
      <c r="F2206" s="3">
        <v>45951</v>
      </c>
      <c r="G2206">
        <v>202607</v>
      </c>
      <c r="H2206" t="s">
        <v>79</v>
      </c>
      <c r="I2206" t="s">
        <v>80</v>
      </c>
      <c r="J2206" t="s">
        <v>91</v>
      </c>
      <c r="K2206" t="s">
        <v>78</v>
      </c>
      <c r="L2206" t="s">
        <v>265</v>
      </c>
      <c r="M2206" t="s">
        <v>266</v>
      </c>
      <c r="N2206" t="s">
        <v>536</v>
      </c>
      <c r="O2206" t="s">
        <v>82</v>
      </c>
      <c r="P2206" t="str">
        <f>"4170065068                    "</f>
        <v xml:space="preserve">4170065068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22.36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2</v>
      </c>
      <c r="BJ2206">
        <v>1.5</v>
      </c>
      <c r="BK2206">
        <v>2</v>
      </c>
      <c r="BL2206">
        <v>70.959999999999994</v>
      </c>
      <c r="BM2206">
        <v>10.64</v>
      </c>
      <c r="BN2206">
        <v>81.599999999999994</v>
      </c>
      <c r="BO2206">
        <v>81.599999999999994</v>
      </c>
      <c r="BQ2206" t="s">
        <v>537</v>
      </c>
      <c r="BR2206" t="s">
        <v>97</v>
      </c>
      <c r="BS2206" s="3">
        <v>45952</v>
      </c>
      <c r="BT2206" s="4">
        <v>0.33402777777777776</v>
      </c>
      <c r="BU2206" t="s">
        <v>817</v>
      </c>
      <c r="BV2206" t="s">
        <v>86</v>
      </c>
      <c r="BY2206">
        <v>7540</v>
      </c>
      <c r="CA2206" t="s">
        <v>818</v>
      </c>
      <c r="CC2206" t="s">
        <v>266</v>
      </c>
      <c r="CD2206">
        <v>6230</v>
      </c>
      <c r="CE2206" t="s">
        <v>191</v>
      </c>
      <c r="CF2206" s="3">
        <v>45952</v>
      </c>
      <c r="CI2206">
        <v>1</v>
      </c>
      <c r="CJ2206">
        <v>1</v>
      </c>
      <c r="CK2206">
        <v>21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"080068641546"</f>
        <v>080068641546</v>
      </c>
      <c r="F2207" s="3">
        <v>45951</v>
      </c>
      <c r="G2207">
        <v>202607</v>
      </c>
      <c r="H2207" t="s">
        <v>79</v>
      </c>
      <c r="I2207" t="s">
        <v>80</v>
      </c>
      <c r="J2207" t="s">
        <v>91</v>
      </c>
      <c r="K2207" t="s">
        <v>78</v>
      </c>
      <c r="L2207" t="s">
        <v>206</v>
      </c>
      <c r="M2207" t="s">
        <v>207</v>
      </c>
      <c r="N2207" t="s">
        <v>656</v>
      </c>
      <c r="O2207" t="s">
        <v>82</v>
      </c>
      <c r="P2207" t="str">
        <f>"4170065143                    "</f>
        <v xml:space="preserve">4170065143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22.36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70.959999999999994</v>
      </c>
      <c r="BM2207">
        <v>10.64</v>
      </c>
      <c r="BN2207">
        <v>81.599999999999994</v>
      </c>
      <c r="BO2207">
        <v>81.599999999999994</v>
      </c>
      <c r="BQ2207" t="s">
        <v>657</v>
      </c>
      <c r="BR2207" t="s">
        <v>97</v>
      </c>
      <c r="BS2207" s="3">
        <v>45952</v>
      </c>
      <c r="BT2207" s="4">
        <v>0.41666666666666669</v>
      </c>
      <c r="BU2207" t="s">
        <v>1442</v>
      </c>
      <c r="BV2207" t="s">
        <v>86</v>
      </c>
      <c r="BY2207">
        <v>1200</v>
      </c>
      <c r="CA2207" t="s">
        <v>770</v>
      </c>
      <c r="CC2207" t="s">
        <v>207</v>
      </c>
      <c r="CD2207">
        <v>7441</v>
      </c>
      <c r="CE2207" t="s">
        <v>147</v>
      </c>
      <c r="CF2207" s="3">
        <v>45953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"080068641577"</f>
        <v>080068641577</v>
      </c>
      <c r="F2208" s="3">
        <v>45951</v>
      </c>
      <c r="G2208">
        <v>202607</v>
      </c>
      <c r="H2208" t="s">
        <v>79</v>
      </c>
      <c r="I2208" t="s">
        <v>80</v>
      </c>
      <c r="J2208" t="s">
        <v>91</v>
      </c>
      <c r="K2208" t="s">
        <v>78</v>
      </c>
      <c r="L2208" t="s">
        <v>453</v>
      </c>
      <c r="M2208" t="s">
        <v>454</v>
      </c>
      <c r="N2208" t="s">
        <v>581</v>
      </c>
      <c r="O2208" t="s">
        <v>82</v>
      </c>
      <c r="P2208" t="str">
        <f>"4170065041                    "</f>
        <v xml:space="preserve">4170065041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22.36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70.959999999999994</v>
      </c>
      <c r="BM2208">
        <v>10.64</v>
      </c>
      <c r="BN2208">
        <v>81.599999999999994</v>
      </c>
      <c r="BO2208">
        <v>81.599999999999994</v>
      </c>
      <c r="BQ2208" t="s">
        <v>582</v>
      </c>
      <c r="BR2208" t="s">
        <v>97</v>
      </c>
      <c r="BS2208" s="3">
        <v>45952</v>
      </c>
      <c r="BT2208" s="4">
        <v>0.48055555555555557</v>
      </c>
      <c r="BU2208" t="s">
        <v>583</v>
      </c>
      <c r="BV2208" t="s">
        <v>86</v>
      </c>
      <c r="BY2208">
        <v>1200</v>
      </c>
      <c r="CA2208" t="s">
        <v>742</v>
      </c>
      <c r="CC2208" t="s">
        <v>454</v>
      </c>
      <c r="CD2208">
        <v>3610</v>
      </c>
      <c r="CE2208" t="s">
        <v>147</v>
      </c>
      <c r="CF2208" s="3">
        <v>45952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"080068641596"</f>
        <v>080068641596</v>
      </c>
      <c r="F2209" s="3">
        <v>45951</v>
      </c>
      <c r="G2209">
        <v>202607</v>
      </c>
      <c r="H2209" t="s">
        <v>79</v>
      </c>
      <c r="I2209" t="s">
        <v>80</v>
      </c>
      <c r="J2209" t="s">
        <v>91</v>
      </c>
      <c r="K2209" t="s">
        <v>78</v>
      </c>
      <c r="L2209" t="s">
        <v>92</v>
      </c>
      <c r="M2209" t="s">
        <v>93</v>
      </c>
      <c r="N2209" t="s">
        <v>597</v>
      </c>
      <c r="O2209" t="s">
        <v>82</v>
      </c>
      <c r="P2209" t="str">
        <f>"4170065116                    "</f>
        <v xml:space="preserve">4170065116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33.520000000000003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2.7</v>
      </c>
      <c r="BJ2209">
        <v>1.2</v>
      </c>
      <c r="BK2209">
        <v>3</v>
      </c>
      <c r="BL2209">
        <v>106.4</v>
      </c>
      <c r="BM2209">
        <v>15.96</v>
      </c>
      <c r="BN2209">
        <v>122.36</v>
      </c>
      <c r="BO2209">
        <v>122.36</v>
      </c>
      <c r="BQ2209" t="s">
        <v>598</v>
      </c>
      <c r="BR2209" t="s">
        <v>97</v>
      </c>
      <c r="BS2209" s="3">
        <v>45952</v>
      </c>
      <c r="BT2209" s="4">
        <v>0.47152777777777777</v>
      </c>
      <c r="BU2209" t="s">
        <v>599</v>
      </c>
      <c r="BV2209" t="s">
        <v>86</v>
      </c>
      <c r="BY2209">
        <v>6097.9</v>
      </c>
      <c r="CA2209" t="s">
        <v>600</v>
      </c>
      <c r="CC2209" t="s">
        <v>93</v>
      </c>
      <c r="CD2209">
        <v>3201</v>
      </c>
      <c r="CE2209" t="s">
        <v>191</v>
      </c>
      <c r="CF2209" s="3">
        <v>45953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"080068641626"</f>
        <v>080068641626</v>
      </c>
      <c r="F2210" s="3">
        <v>45951</v>
      </c>
      <c r="G2210">
        <v>202607</v>
      </c>
      <c r="H2210" t="s">
        <v>79</v>
      </c>
      <c r="I2210" t="s">
        <v>80</v>
      </c>
      <c r="J2210" t="s">
        <v>91</v>
      </c>
      <c r="K2210" t="s">
        <v>78</v>
      </c>
      <c r="L2210" t="s">
        <v>206</v>
      </c>
      <c r="M2210" t="s">
        <v>207</v>
      </c>
      <c r="N2210" t="s">
        <v>656</v>
      </c>
      <c r="O2210" t="s">
        <v>82</v>
      </c>
      <c r="P2210" t="str">
        <f>"4170065148                    "</f>
        <v xml:space="preserve">4170065148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22.36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70.959999999999994</v>
      </c>
      <c r="BM2210">
        <v>10.64</v>
      </c>
      <c r="BN2210">
        <v>81.599999999999994</v>
      </c>
      <c r="BO2210">
        <v>81.599999999999994</v>
      </c>
      <c r="BQ2210" t="s">
        <v>657</v>
      </c>
      <c r="BR2210" t="s">
        <v>97</v>
      </c>
      <c r="BS2210" s="3">
        <v>45952</v>
      </c>
      <c r="BT2210" s="4">
        <v>0.41666666666666669</v>
      </c>
      <c r="BU2210" t="s">
        <v>1442</v>
      </c>
      <c r="BV2210" t="s">
        <v>86</v>
      </c>
      <c r="BY2210">
        <v>1200</v>
      </c>
      <c r="CA2210" t="s">
        <v>770</v>
      </c>
      <c r="CC2210" t="s">
        <v>207</v>
      </c>
      <c r="CD2210">
        <v>7441</v>
      </c>
      <c r="CE2210" t="s">
        <v>147</v>
      </c>
      <c r="CF2210" s="3">
        <v>45953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"080068641666"</f>
        <v>080068641666</v>
      </c>
      <c r="F2211" s="3">
        <v>45951</v>
      </c>
      <c r="G2211">
        <v>202607</v>
      </c>
      <c r="H2211" t="s">
        <v>79</v>
      </c>
      <c r="I2211" t="s">
        <v>80</v>
      </c>
      <c r="J2211" t="s">
        <v>91</v>
      </c>
      <c r="K2211" t="s">
        <v>78</v>
      </c>
      <c r="L2211" t="s">
        <v>206</v>
      </c>
      <c r="M2211" t="s">
        <v>207</v>
      </c>
      <c r="N2211" t="s">
        <v>1517</v>
      </c>
      <c r="O2211" t="s">
        <v>82</v>
      </c>
      <c r="P2211" t="str">
        <f>"4170064924                    "</f>
        <v xml:space="preserve">4170064924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22.36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70.959999999999994</v>
      </c>
      <c r="BM2211">
        <v>10.64</v>
      </c>
      <c r="BN2211">
        <v>81.599999999999994</v>
      </c>
      <c r="BO2211">
        <v>81.599999999999994</v>
      </c>
      <c r="BQ2211" t="s">
        <v>1518</v>
      </c>
      <c r="BR2211" t="s">
        <v>97</v>
      </c>
      <c r="BS2211" s="3">
        <v>45953</v>
      </c>
      <c r="BT2211" s="4">
        <v>0.36249999999999999</v>
      </c>
      <c r="BU2211" t="s">
        <v>1519</v>
      </c>
      <c r="BV2211" t="s">
        <v>90</v>
      </c>
      <c r="BW2211" t="s">
        <v>347</v>
      </c>
      <c r="BX2211" t="s">
        <v>348</v>
      </c>
      <c r="BY2211">
        <v>1200</v>
      </c>
      <c r="CA2211" t="s">
        <v>569</v>
      </c>
      <c r="CC2211" t="s">
        <v>207</v>
      </c>
      <c r="CD2211">
        <v>7945</v>
      </c>
      <c r="CE2211" t="s">
        <v>147</v>
      </c>
      <c r="CF2211" s="3">
        <v>45954</v>
      </c>
      <c r="CI2211">
        <v>1</v>
      </c>
      <c r="CJ2211">
        <v>2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"080068641699"</f>
        <v>080068641699</v>
      </c>
      <c r="F2212" s="3">
        <v>45951</v>
      </c>
      <c r="G2212">
        <v>202607</v>
      </c>
      <c r="H2212" t="s">
        <v>79</v>
      </c>
      <c r="I2212" t="s">
        <v>80</v>
      </c>
      <c r="J2212" t="s">
        <v>91</v>
      </c>
      <c r="K2212" t="s">
        <v>78</v>
      </c>
      <c r="L2212" t="s">
        <v>322</v>
      </c>
      <c r="M2212" t="s">
        <v>322</v>
      </c>
      <c r="N2212" t="s">
        <v>483</v>
      </c>
      <c r="O2212" t="s">
        <v>82</v>
      </c>
      <c r="P2212" t="str">
        <f>"4170065122                    "</f>
        <v xml:space="preserve">4170065122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43.31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137.47</v>
      </c>
      <c r="BM2212">
        <v>20.62</v>
      </c>
      <c r="BN2212">
        <v>158.09</v>
      </c>
      <c r="BO2212">
        <v>158.09</v>
      </c>
      <c r="BQ2212" t="s">
        <v>486</v>
      </c>
      <c r="BR2212" t="s">
        <v>97</v>
      </c>
      <c r="BS2212" s="3">
        <v>45952</v>
      </c>
      <c r="BT2212" s="4">
        <v>0.53819444444444442</v>
      </c>
      <c r="BU2212" t="s">
        <v>485</v>
      </c>
      <c r="BV2212" t="s">
        <v>86</v>
      </c>
      <c r="BY2212">
        <v>1200</v>
      </c>
      <c r="CA2212" t="s">
        <v>326</v>
      </c>
      <c r="CC2212" t="s">
        <v>322</v>
      </c>
      <c r="CD2212">
        <v>7646</v>
      </c>
      <c r="CE2212" t="s">
        <v>147</v>
      </c>
      <c r="CF2212" s="3">
        <v>45953</v>
      </c>
      <c r="CI2212">
        <v>1</v>
      </c>
      <c r="CJ2212">
        <v>1</v>
      </c>
      <c r="CK2212">
        <v>23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"080068641716"</f>
        <v>080068641716</v>
      </c>
      <c r="F2213" s="3">
        <v>45951</v>
      </c>
      <c r="G2213">
        <v>202607</v>
      </c>
      <c r="H2213" t="s">
        <v>79</v>
      </c>
      <c r="I2213" t="s">
        <v>80</v>
      </c>
      <c r="J2213" t="s">
        <v>91</v>
      </c>
      <c r="K2213" t="s">
        <v>78</v>
      </c>
      <c r="L2213" t="s">
        <v>1079</v>
      </c>
      <c r="M2213" t="s">
        <v>1080</v>
      </c>
      <c r="N2213" t="s">
        <v>1081</v>
      </c>
      <c r="O2213" t="s">
        <v>82</v>
      </c>
      <c r="P2213" t="str">
        <f>"4170064892                    "</f>
        <v xml:space="preserve">4170064892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43.31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16.739999999999998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154.21</v>
      </c>
      <c r="BM2213">
        <v>23.13</v>
      </c>
      <c r="BN2213">
        <v>177.34</v>
      </c>
      <c r="BO2213">
        <v>177.34</v>
      </c>
      <c r="BQ2213" t="s">
        <v>1082</v>
      </c>
      <c r="BR2213" t="s">
        <v>97</v>
      </c>
      <c r="BS2213" s="3">
        <v>45952</v>
      </c>
      <c r="BT2213" s="4">
        <v>0.46736111111111112</v>
      </c>
      <c r="BU2213" t="s">
        <v>2848</v>
      </c>
      <c r="BV2213" t="s">
        <v>86</v>
      </c>
      <c r="BY2213">
        <v>1200</v>
      </c>
      <c r="BZ2213" t="s">
        <v>30</v>
      </c>
      <c r="CA2213" t="s">
        <v>1084</v>
      </c>
      <c r="CC2213" t="s">
        <v>1080</v>
      </c>
      <c r="CD2213">
        <v>3875</v>
      </c>
      <c r="CE2213" t="s">
        <v>147</v>
      </c>
      <c r="CF2213" s="3">
        <v>45952</v>
      </c>
      <c r="CI2213">
        <v>2</v>
      </c>
      <c r="CJ2213">
        <v>1</v>
      </c>
      <c r="CK2213">
        <v>23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"080068641752"</f>
        <v>080068641752</v>
      </c>
      <c r="F2214" s="3">
        <v>45951</v>
      </c>
      <c r="G2214">
        <v>202607</v>
      </c>
      <c r="H2214" t="s">
        <v>79</v>
      </c>
      <c r="I2214" t="s">
        <v>80</v>
      </c>
      <c r="J2214" t="s">
        <v>91</v>
      </c>
      <c r="K2214" t="s">
        <v>78</v>
      </c>
      <c r="L2214" t="s">
        <v>206</v>
      </c>
      <c r="M2214" t="s">
        <v>207</v>
      </c>
      <c r="N2214" t="s">
        <v>1062</v>
      </c>
      <c r="O2214" t="s">
        <v>82</v>
      </c>
      <c r="P2214" t="str">
        <f>"4170065127                    "</f>
        <v xml:space="preserve">4170065127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22.36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70.959999999999994</v>
      </c>
      <c r="BM2214">
        <v>10.64</v>
      </c>
      <c r="BN2214">
        <v>81.599999999999994</v>
      </c>
      <c r="BO2214">
        <v>81.599999999999994</v>
      </c>
      <c r="BQ2214" t="s">
        <v>1063</v>
      </c>
      <c r="BR2214" t="s">
        <v>97</v>
      </c>
      <c r="BS2214" s="3">
        <v>45952</v>
      </c>
      <c r="BT2214" s="4">
        <v>0.38333333333333336</v>
      </c>
      <c r="BU2214" t="s">
        <v>2849</v>
      </c>
      <c r="BV2214" t="s">
        <v>86</v>
      </c>
      <c r="BY2214">
        <v>1200</v>
      </c>
      <c r="CA2214" t="s">
        <v>770</v>
      </c>
      <c r="CC2214" t="s">
        <v>207</v>
      </c>
      <c r="CD2214">
        <v>8001</v>
      </c>
      <c r="CE2214" t="s">
        <v>147</v>
      </c>
      <c r="CF2214" s="3">
        <v>45953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"080068641785"</f>
        <v>080068641785</v>
      </c>
      <c r="F2215" s="3">
        <v>45951</v>
      </c>
      <c r="G2215">
        <v>202607</v>
      </c>
      <c r="H2215" t="s">
        <v>79</v>
      </c>
      <c r="I2215" t="s">
        <v>80</v>
      </c>
      <c r="J2215" t="s">
        <v>91</v>
      </c>
      <c r="K2215" t="s">
        <v>78</v>
      </c>
      <c r="L2215" t="s">
        <v>121</v>
      </c>
      <c r="M2215" t="s">
        <v>122</v>
      </c>
      <c r="N2215" t="s">
        <v>123</v>
      </c>
      <c r="O2215" t="s">
        <v>82</v>
      </c>
      <c r="P2215" t="str">
        <f>"4170064872                    "</f>
        <v xml:space="preserve">4170064872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22.36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70.959999999999994</v>
      </c>
      <c r="BM2215">
        <v>10.64</v>
      </c>
      <c r="BN2215">
        <v>81.599999999999994</v>
      </c>
      <c r="BO2215">
        <v>81.599999999999994</v>
      </c>
      <c r="BQ2215" t="s">
        <v>124</v>
      </c>
      <c r="BR2215" t="s">
        <v>97</v>
      </c>
      <c r="BS2215" s="3">
        <v>45952</v>
      </c>
      <c r="BT2215" s="4">
        <v>0.35486111111111113</v>
      </c>
      <c r="BU2215" t="s">
        <v>1611</v>
      </c>
      <c r="BV2215" t="s">
        <v>86</v>
      </c>
      <c r="BY2215">
        <v>1200</v>
      </c>
      <c r="CA2215" t="s">
        <v>126</v>
      </c>
      <c r="CC2215" t="s">
        <v>122</v>
      </c>
      <c r="CD2215">
        <v>4000</v>
      </c>
      <c r="CE2215" t="s">
        <v>147</v>
      </c>
      <c r="CF2215" s="3">
        <v>45952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"080068641848"</f>
        <v>080068641848</v>
      </c>
      <c r="F2216" s="3">
        <v>45951</v>
      </c>
      <c r="G2216">
        <v>202607</v>
      </c>
      <c r="H2216" t="s">
        <v>79</v>
      </c>
      <c r="I2216" t="s">
        <v>80</v>
      </c>
      <c r="J2216" t="s">
        <v>91</v>
      </c>
      <c r="K2216" t="s">
        <v>78</v>
      </c>
      <c r="L2216" t="s">
        <v>206</v>
      </c>
      <c r="M2216" t="s">
        <v>207</v>
      </c>
      <c r="N2216" t="s">
        <v>734</v>
      </c>
      <c r="O2216" t="s">
        <v>82</v>
      </c>
      <c r="P2216" t="str">
        <f>"4170064941                    "</f>
        <v xml:space="preserve">4170064941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22.36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70.959999999999994</v>
      </c>
      <c r="BM2216">
        <v>10.64</v>
      </c>
      <c r="BN2216">
        <v>81.599999999999994</v>
      </c>
      <c r="BO2216">
        <v>81.599999999999994</v>
      </c>
      <c r="BQ2216" t="s">
        <v>735</v>
      </c>
      <c r="BR2216" t="s">
        <v>97</v>
      </c>
      <c r="BS2216" s="3">
        <v>45952</v>
      </c>
      <c r="BT2216" s="4">
        <v>0.45694444444444443</v>
      </c>
      <c r="BU2216" t="s">
        <v>736</v>
      </c>
      <c r="BV2216" t="s">
        <v>90</v>
      </c>
      <c r="BW2216" t="s">
        <v>771</v>
      </c>
      <c r="BX2216" t="s">
        <v>2043</v>
      </c>
      <c r="BY2216">
        <v>1200</v>
      </c>
      <c r="CA2216" t="s">
        <v>480</v>
      </c>
      <c r="CC2216" t="s">
        <v>207</v>
      </c>
      <c r="CD2216">
        <v>7480</v>
      </c>
      <c r="CE2216" t="s">
        <v>147</v>
      </c>
      <c r="CF2216" s="3">
        <v>45953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"080068641897"</f>
        <v>080068641897</v>
      </c>
      <c r="F2217" s="3">
        <v>45951</v>
      </c>
      <c r="G2217">
        <v>202607</v>
      </c>
      <c r="H2217" t="s">
        <v>79</v>
      </c>
      <c r="I2217" t="s">
        <v>80</v>
      </c>
      <c r="J2217" t="s">
        <v>91</v>
      </c>
      <c r="K2217" t="s">
        <v>78</v>
      </c>
      <c r="L2217" t="s">
        <v>79</v>
      </c>
      <c r="M2217" t="s">
        <v>80</v>
      </c>
      <c r="N2217" t="s">
        <v>509</v>
      </c>
      <c r="O2217" t="s">
        <v>82</v>
      </c>
      <c r="P2217" t="str">
        <f>"4170065136                    "</f>
        <v xml:space="preserve">4170065136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17.46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55.42</v>
      </c>
      <c r="BM2217">
        <v>8.31</v>
      </c>
      <c r="BN2217">
        <v>63.73</v>
      </c>
      <c r="BO2217">
        <v>63.73</v>
      </c>
      <c r="BQ2217" t="s">
        <v>510</v>
      </c>
      <c r="BR2217" t="s">
        <v>97</v>
      </c>
      <c r="BS2217" s="3">
        <v>45952</v>
      </c>
      <c r="BT2217" s="4">
        <v>0.30972222222222223</v>
      </c>
      <c r="BU2217" t="s">
        <v>2850</v>
      </c>
      <c r="BV2217" t="s">
        <v>86</v>
      </c>
      <c r="BY2217">
        <v>1200</v>
      </c>
      <c r="CA2217" t="s">
        <v>88</v>
      </c>
      <c r="CC2217" t="s">
        <v>80</v>
      </c>
      <c r="CD2217">
        <v>1601</v>
      </c>
      <c r="CE2217" t="s">
        <v>147</v>
      </c>
      <c r="CF2217" s="3">
        <v>45952</v>
      </c>
      <c r="CI2217">
        <v>1</v>
      </c>
      <c r="CJ2217">
        <v>1</v>
      </c>
      <c r="CK2217">
        <v>22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"080068641993"</f>
        <v>080068641993</v>
      </c>
      <c r="F2218" s="3">
        <v>45951</v>
      </c>
      <c r="G2218">
        <v>202607</v>
      </c>
      <c r="H2218" t="s">
        <v>79</v>
      </c>
      <c r="I2218" t="s">
        <v>80</v>
      </c>
      <c r="J2218" t="s">
        <v>91</v>
      </c>
      <c r="K2218" t="s">
        <v>78</v>
      </c>
      <c r="L2218" t="s">
        <v>108</v>
      </c>
      <c r="M2218" t="s">
        <v>109</v>
      </c>
      <c r="N2218" t="s">
        <v>751</v>
      </c>
      <c r="O2218" t="s">
        <v>82</v>
      </c>
      <c r="P2218" t="str">
        <f>"4170064946                    "</f>
        <v xml:space="preserve">4170064946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22.36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70.959999999999994</v>
      </c>
      <c r="BM2218">
        <v>10.64</v>
      </c>
      <c r="BN2218">
        <v>81.599999999999994</v>
      </c>
      <c r="BO2218">
        <v>81.599999999999994</v>
      </c>
      <c r="BQ2218" t="s">
        <v>752</v>
      </c>
      <c r="BR2218" t="s">
        <v>97</v>
      </c>
      <c r="BS2218" s="3">
        <v>45952</v>
      </c>
      <c r="BT2218" s="4">
        <v>0.35069444444444442</v>
      </c>
      <c r="BU2218" t="s">
        <v>2851</v>
      </c>
      <c r="BV2218" t="s">
        <v>86</v>
      </c>
      <c r="BY2218">
        <v>1200</v>
      </c>
      <c r="CA2218" t="s">
        <v>1090</v>
      </c>
      <c r="CC2218" t="s">
        <v>109</v>
      </c>
      <c r="CD2218">
        <v>6001</v>
      </c>
      <c r="CE2218" t="s">
        <v>147</v>
      </c>
      <c r="CF2218" s="3">
        <v>45952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"080068642001"</f>
        <v>080068642001</v>
      </c>
      <c r="F2219" s="3">
        <v>45951</v>
      </c>
      <c r="G2219">
        <v>202607</v>
      </c>
      <c r="H2219" t="s">
        <v>79</v>
      </c>
      <c r="I2219" t="s">
        <v>80</v>
      </c>
      <c r="J2219" t="s">
        <v>91</v>
      </c>
      <c r="K2219" t="s">
        <v>78</v>
      </c>
      <c r="L2219" t="s">
        <v>79</v>
      </c>
      <c r="M2219" t="s">
        <v>80</v>
      </c>
      <c r="N2219" t="s">
        <v>163</v>
      </c>
      <c r="O2219" t="s">
        <v>82</v>
      </c>
      <c r="P2219" t="str">
        <f>"4170065216                    "</f>
        <v xml:space="preserve">4170065216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17.46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2</v>
      </c>
      <c r="BJ2219">
        <v>3.8</v>
      </c>
      <c r="BK2219">
        <v>4</v>
      </c>
      <c r="BL2219">
        <v>55.42</v>
      </c>
      <c r="BM2219">
        <v>8.31</v>
      </c>
      <c r="BN2219">
        <v>63.73</v>
      </c>
      <c r="BO2219">
        <v>63.73</v>
      </c>
      <c r="BQ2219" t="s">
        <v>164</v>
      </c>
      <c r="BR2219" t="s">
        <v>97</v>
      </c>
      <c r="BS2219" s="3">
        <v>45952</v>
      </c>
      <c r="BT2219" s="4">
        <v>0.34722222222222221</v>
      </c>
      <c r="BU2219" t="s">
        <v>579</v>
      </c>
      <c r="BV2219" t="s">
        <v>86</v>
      </c>
      <c r="BY2219">
        <v>18894.82</v>
      </c>
      <c r="CA2219" t="s">
        <v>166</v>
      </c>
      <c r="CC2219" t="s">
        <v>80</v>
      </c>
      <c r="CD2219">
        <v>1600</v>
      </c>
      <c r="CE2219" t="s">
        <v>107</v>
      </c>
      <c r="CF2219" s="3">
        <v>45953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"080068642012"</f>
        <v>080068642012</v>
      </c>
      <c r="F2220" s="3">
        <v>45951</v>
      </c>
      <c r="G2220">
        <v>202607</v>
      </c>
      <c r="H2220" t="s">
        <v>79</v>
      </c>
      <c r="I2220" t="s">
        <v>80</v>
      </c>
      <c r="J2220" t="s">
        <v>91</v>
      </c>
      <c r="K2220" t="s">
        <v>78</v>
      </c>
      <c r="L2220" t="s">
        <v>322</v>
      </c>
      <c r="M2220" t="s">
        <v>322</v>
      </c>
      <c r="N2220" t="s">
        <v>483</v>
      </c>
      <c r="O2220" t="s">
        <v>82</v>
      </c>
      <c r="P2220" t="str">
        <f>"4170065181                    "</f>
        <v xml:space="preserve">4170065181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43.31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137.47</v>
      </c>
      <c r="BM2220">
        <v>20.62</v>
      </c>
      <c r="BN2220">
        <v>158.09</v>
      </c>
      <c r="BO2220">
        <v>158.09</v>
      </c>
      <c r="BQ2220" t="s">
        <v>486</v>
      </c>
      <c r="BR2220" t="s">
        <v>97</v>
      </c>
      <c r="BS2220" s="3">
        <v>45952</v>
      </c>
      <c r="BT2220" s="4">
        <v>0.53749999999999998</v>
      </c>
      <c r="BU2220" t="s">
        <v>485</v>
      </c>
      <c r="BV2220" t="s">
        <v>86</v>
      </c>
      <c r="BY2220">
        <v>1200</v>
      </c>
      <c r="CA2220" t="s">
        <v>326</v>
      </c>
      <c r="CC2220" t="s">
        <v>322</v>
      </c>
      <c r="CD2220">
        <v>7646</v>
      </c>
      <c r="CE2220" t="s">
        <v>147</v>
      </c>
      <c r="CF2220" s="3">
        <v>45953</v>
      </c>
      <c r="CI2220">
        <v>1</v>
      </c>
      <c r="CJ2220">
        <v>1</v>
      </c>
      <c r="CK2220">
        <v>23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"080068642025"</f>
        <v>080068642025</v>
      </c>
      <c r="F2221" s="3">
        <v>45951</v>
      </c>
      <c r="G2221">
        <v>202607</v>
      </c>
      <c r="H2221" t="s">
        <v>79</v>
      </c>
      <c r="I2221" t="s">
        <v>80</v>
      </c>
      <c r="J2221" t="s">
        <v>91</v>
      </c>
      <c r="K2221" t="s">
        <v>78</v>
      </c>
      <c r="L2221" t="s">
        <v>148</v>
      </c>
      <c r="M2221" t="s">
        <v>149</v>
      </c>
      <c r="N2221" t="s">
        <v>2242</v>
      </c>
      <c r="O2221" t="s">
        <v>82</v>
      </c>
      <c r="P2221" t="str">
        <f>"4170065140                    "</f>
        <v xml:space="preserve">4170065140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17.46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0.7</v>
      </c>
      <c r="BK2221">
        <v>1</v>
      </c>
      <c r="BL2221">
        <v>55.42</v>
      </c>
      <c r="BM2221">
        <v>8.31</v>
      </c>
      <c r="BN2221">
        <v>63.73</v>
      </c>
      <c r="BO2221">
        <v>63.73</v>
      </c>
      <c r="BQ2221" t="s">
        <v>2243</v>
      </c>
      <c r="BR2221" t="s">
        <v>97</v>
      </c>
      <c r="BS2221" s="3">
        <v>45952</v>
      </c>
      <c r="BT2221" s="4">
        <v>0.43888888888888888</v>
      </c>
      <c r="BU2221" t="s">
        <v>2852</v>
      </c>
      <c r="BV2221" t="s">
        <v>90</v>
      </c>
      <c r="BW2221" t="s">
        <v>771</v>
      </c>
      <c r="BX2221" t="s">
        <v>772</v>
      </c>
      <c r="BY2221">
        <v>3306</v>
      </c>
      <c r="CA2221" t="s">
        <v>2853</v>
      </c>
      <c r="CC2221" t="s">
        <v>149</v>
      </c>
      <c r="CD2221">
        <v>2049</v>
      </c>
      <c r="CE2221" t="s">
        <v>191</v>
      </c>
      <c r="CF2221" s="3">
        <v>45953</v>
      </c>
      <c r="CI2221">
        <v>1</v>
      </c>
      <c r="CJ2221">
        <v>1</v>
      </c>
      <c r="CK2221">
        <v>22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"080068642044"</f>
        <v>080068642044</v>
      </c>
      <c r="F2222" s="3">
        <v>45951</v>
      </c>
      <c r="G2222">
        <v>202607</v>
      </c>
      <c r="H2222" t="s">
        <v>79</v>
      </c>
      <c r="I2222" t="s">
        <v>80</v>
      </c>
      <c r="J2222" t="s">
        <v>91</v>
      </c>
      <c r="K2222" t="s">
        <v>78</v>
      </c>
      <c r="L2222" t="s">
        <v>79</v>
      </c>
      <c r="M2222" t="s">
        <v>80</v>
      </c>
      <c r="N2222" t="s">
        <v>694</v>
      </c>
      <c r="O2222" t="s">
        <v>82</v>
      </c>
      <c r="P2222" t="str">
        <f>"4170065159                    "</f>
        <v xml:space="preserve">4170065159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17.46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55.42</v>
      </c>
      <c r="BM2222">
        <v>8.31</v>
      </c>
      <c r="BN2222">
        <v>63.73</v>
      </c>
      <c r="BO2222">
        <v>63.73</v>
      </c>
      <c r="BQ2222" t="s">
        <v>695</v>
      </c>
      <c r="BR2222" t="s">
        <v>97</v>
      </c>
      <c r="BS2222" s="3">
        <v>45952</v>
      </c>
      <c r="BT2222" s="4">
        <v>0.29583333333333334</v>
      </c>
      <c r="BU2222" t="s">
        <v>1697</v>
      </c>
      <c r="BV2222" t="s">
        <v>86</v>
      </c>
      <c r="BY2222">
        <v>1200</v>
      </c>
      <c r="CA2222" t="s">
        <v>88</v>
      </c>
      <c r="CC2222" t="s">
        <v>80</v>
      </c>
      <c r="CD2222">
        <v>1601</v>
      </c>
      <c r="CE2222" t="s">
        <v>147</v>
      </c>
      <c r="CF2222" s="3">
        <v>45952</v>
      </c>
      <c r="CI2222">
        <v>1</v>
      </c>
      <c r="CJ2222">
        <v>1</v>
      </c>
      <c r="CK2222">
        <v>22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"080068642067"</f>
        <v>080068642067</v>
      </c>
      <c r="F2223" s="3">
        <v>45951</v>
      </c>
      <c r="G2223">
        <v>202607</v>
      </c>
      <c r="H2223" t="s">
        <v>79</v>
      </c>
      <c r="I2223" t="s">
        <v>80</v>
      </c>
      <c r="J2223" t="s">
        <v>91</v>
      </c>
      <c r="K2223" t="s">
        <v>78</v>
      </c>
      <c r="L2223" t="s">
        <v>168</v>
      </c>
      <c r="M2223" t="s">
        <v>169</v>
      </c>
      <c r="N2223" t="s">
        <v>339</v>
      </c>
      <c r="O2223" t="s">
        <v>95</v>
      </c>
      <c r="P2223" t="str">
        <f>"4170065163                    "</f>
        <v xml:space="preserve">4170065163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43.23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1.9</v>
      </c>
      <c r="BJ2223">
        <v>1.3</v>
      </c>
      <c r="BK2223">
        <v>2</v>
      </c>
      <c r="BL2223">
        <v>143.08000000000001</v>
      </c>
      <c r="BM2223">
        <v>21.46</v>
      </c>
      <c r="BN2223">
        <v>164.54</v>
      </c>
      <c r="BO2223">
        <v>164.54</v>
      </c>
      <c r="BQ2223" t="s">
        <v>340</v>
      </c>
      <c r="BR2223" t="s">
        <v>97</v>
      </c>
      <c r="BS2223" s="3">
        <v>45952</v>
      </c>
      <c r="BT2223" s="4">
        <v>0.51527777777777772</v>
      </c>
      <c r="BU2223" t="s">
        <v>2102</v>
      </c>
      <c r="BV2223" t="s">
        <v>86</v>
      </c>
      <c r="BY2223">
        <v>6413.64</v>
      </c>
      <c r="CA2223">
        <v>8303236124087</v>
      </c>
      <c r="CC2223" t="s">
        <v>169</v>
      </c>
      <c r="CD2223" s="5" t="s">
        <v>190</v>
      </c>
      <c r="CE2223" t="s">
        <v>107</v>
      </c>
      <c r="CF2223" s="3">
        <v>45952</v>
      </c>
      <c r="CI2223">
        <v>1</v>
      </c>
      <c r="CJ2223">
        <v>1</v>
      </c>
      <c r="CK2223">
        <v>41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"080068642082"</f>
        <v>080068642082</v>
      </c>
      <c r="F2224" s="3">
        <v>45951</v>
      </c>
      <c r="G2224">
        <v>202607</v>
      </c>
      <c r="H2224" t="s">
        <v>79</v>
      </c>
      <c r="I2224" t="s">
        <v>80</v>
      </c>
      <c r="J2224" t="s">
        <v>91</v>
      </c>
      <c r="K2224" t="s">
        <v>78</v>
      </c>
      <c r="L2224" t="s">
        <v>453</v>
      </c>
      <c r="M2224" t="s">
        <v>454</v>
      </c>
      <c r="N2224" t="s">
        <v>665</v>
      </c>
      <c r="O2224" t="s">
        <v>82</v>
      </c>
      <c r="P2224" t="str">
        <f>"4170065206                    "</f>
        <v xml:space="preserve">4170065206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22.36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70.959999999999994</v>
      </c>
      <c r="BM2224">
        <v>10.64</v>
      </c>
      <c r="BN2224">
        <v>81.599999999999994</v>
      </c>
      <c r="BO2224">
        <v>81.599999999999994</v>
      </c>
      <c r="BQ2224" t="s">
        <v>666</v>
      </c>
      <c r="BR2224" t="s">
        <v>97</v>
      </c>
      <c r="BS2224" s="3">
        <v>45952</v>
      </c>
      <c r="BT2224" s="4">
        <v>0.41666666666666669</v>
      </c>
      <c r="BU2224" t="s">
        <v>2854</v>
      </c>
      <c r="BV2224" t="s">
        <v>86</v>
      </c>
      <c r="BY2224">
        <v>1200</v>
      </c>
      <c r="CA2224" t="s">
        <v>742</v>
      </c>
      <c r="CC2224" t="s">
        <v>454</v>
      </c>
      <c r="CD2224">
        <v>3610</v>
      </c>
      <c r="CE2224" t="s">
        <v>147</v>
      </c>
      <c r="CF2224" s="3">
        <v>45952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"080068642106"</f>
        <v>080068642106</v>
      </c>
      <c r="F2225" s="3">
        <v>45951</v>
      </c>
      <c r="G2225">
        <v>202607</v>
      </c>
      <c r="H2225" t="s">
        <v>79</v>
      </c>
      <c r="I2225" t="s">
        <v>80</v>
      </c>
      <c r="J2225" t="s">
        <v>91</v>
      </c>
      <c r="K2225" t="s">
        <v>78</v>
      </c>
      <c r="L2225" t="s">
        <v>114</v>
      </c>
      <c r="M2225" t="s">
        <v>115</v>
      </c>
      <c r="N2225" t="s">
        <v>2855</v>
      </c>
      <c r="O2225" t="s">
        <v>82</v>
      </c>
      <c r="P2225" t="str">
        <f>"4170065215                    "</f>
        <v xml:space="preserve">4170065215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22.36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70.959999999999994</v>
      </c>
      <c r="BM2225">
        <v>10.64</v>
      </c>
      <c r="BN2225">
        <v>81.599999999999994</v>
      </c>
      <c r="BO2225">
        <v>81.599999999999994</v>
      </c>
      <c r="BQ2225" t="s">
        <v>2856</v>
      </c>
      <c r="BR2225" t="s">
        <v>97</v>
      </c>
      <c r="BS2225" s="3">
        <v>45952</v>
      </c>
      <c r="BT2225" s="4">
        <v>0.40555555555555556</v>
      </c>
      <c r="BU2225" t="s">
        <v>2857</v>
      </c>
      <c r="BV2225" t="s">
        <v>86</v>
      </c>
      <c r="BY2225">
        <v>1200</v>
      </c>
      <c r="CA2225" t="s">
        <v>119</v>
      </c>
      <c r="CC2225" t="s">
        <v>115</v>
      </c>
      <c r="CD2225">
        <v>5201</v>
      </c>
      <c r="CE2225" t="s">
        <v>147</v>
      </c>
      <c r="CF2225" s="3">
        <v>45952</v>
      </c>
      <c r="CI2225">
        <v>1</v>
      </c>
      <c r="CJ2225">
        <v>1</v>
      </c>
      <c r="CK2225">
        <v>21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"080068642136"</f>
        <v>080068642136</v>
      </c>
      <c r="F2226" s="3">
        <v>45951</v>
      </c>
      <c r="G2226">
        <v>202607</v>
      </c>
      <c r="H2226" t="s">
        <v>79</v>
      </c>
      <c r="I2226" t="s">
        <v>80</v>
      </c>
      <c r="J2226" t="s">
        <v>91</v>
      </c>
      <c r="K2226" t="s">
        <v>78</v>
      </c>
      <c r="L2226" t="s">
        <v>763</v>
      </c>
      <c r="M2226" t="s">
        <v>764</v>
      </c>
      <c r="N2226" t="s">
        <v>765</v>
      </c>
      <c r="O2226" t="s">
        <v>82</v>
      </c>
      <c r="P2226" t="str">
        <f>"4170065205                    "</f>
        <v xml:space="preserve">4170065205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43.31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0.2</v>
      </c>
      <c r="BJ2226">
        <v>1.1000000000000001</v>
      </c>
      <c r="BK2226">
        <v>1.5</v>
      </c>
      <c r="BL2226">
        <v>137.47</v>
      </c>
      <c r="BM2226">
        <v>20.62</v>
      </c>
      <c r="BN2226">
        <v>158.09</v>
      </c>
      <c r="BO2226">
        <v>158.09</v>
      </c>
      <c r="BQ2226" t="s">
        <v>766</v>
      </c>
      <c r="BR2226" t="s">
        <v>97</v>
      </c>
      <c r="BS2226" s="3">
        <v>45952</v>
      </c>
      <c r="BT2226" s="4">
        <v>0.4777777777777778</v>
      </c>
      <c r="BU2226" t="s">
        <v>2625</v>
      </c>
      <c r="BV2226" t="s">
        <v>86</v>
      </c>
      <c r="BY2226">
        <v>5336.28</v>
      </c>
      <c r="CA2226" t="s">
        <v>768</v>
      </c>
      <c r="CC2226" t="s">
        <v>764</v>
      </c>
      <c r="CD2226">
        <v>2531</v>
      </c>
      <c r="CE2226" t="s">
        <v>147</v>
      </c>
      <c r="CF2226" s="3">
        <v>45953</v>
      </c>
      <c r="CI2226">
        <v>1</v>
      </c>
      <c r="CJ2226">
        <v>1</v>
      </c>
      <c r="CK2226">
        <v>23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"080068642159"</f>
        <v>080068642159</v>
      </c>
      <c r="F2227" s="3">
        <v>45951</v>
      </c>
      <c r="G2227">
        <v>202607</v>
      </c>
      <c r="H2227" t="s">
        <v>79</v>
      </c>
      <c r="I2227" t="s">
        <v>80</v>
      </c>
      <c r="J2227" t="s">
        <v>91</v>
      </c>
      <c r="K2227" t="s">
        <v>78</v>
      </c>
      <c r="L2227" t="s">
        <v>542</v>
      </c>
      <c r="M2227" t="s">
        <v>543</v>
      </c>
      <c r="N2227" t="s">
        <v>915</v>
      </c>
      <c r="O2227" t="s">
        <v>82</v>
      </c>
      <c r="P2227" t="str">
        <f>"4170065213                    "</f>
        <v xml:space="preserve">4170065213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17.46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55.42</v>
      </c>
      <c r="BM2227">
        <v>8.31</v>
      </c>
      <c r="BN2227">
        <v>63.73</v>
      </c>
      <c r="BO2227">
        <v>63.73</v>
      </c>
      <c r="BQ2227" t="s">
        <v>916</v>
      </c>
      <c r="BR2227" t="s">
        <v>97</v>
      </c>
      <c r="BS2227" s="3">
        <v>45952</v>
      </c>
      <c r="BT2227" s="4">
        <v>0.38958333333333334</v>
      </c>
      <c r="BU2227" t="s">
        <v>917</v>
      </c>
      <c r="BV2227" t="s">
        <v>86</v>
      </c>
      <c r="BY2227">
        <v>1200</v>
      </c>
      <c r="CA2227" t="s">
        <v>918</v>
      </c>
      <c r="CC2227" t="s">
        <v>543</v>
      </c>
      <c r="CD2227">
        <v>1682</v>
      </c>
      <c r="CE2227" t="s">
        <v>147</v>
      </c>
      <c r="CF2227" s="3">
        <v>45953</v>
      </c>
      <c r="CI2227">
        <v>1</v>
      </c>
      <c r="CJ2227">
        <v>1</v>
      </c>
      <c r="CK2227">
        <v>22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"080068644667"</f>
        <v>080068644667</v>
      </c>
      <c r="F2228" s="3">
        <v>45951</v>
      </c>
      <c r="G2228">
        <v>202607</v>
      </c>
      <c r="H2228" t="s">
        <v>79</v>
      </c>
      <c r="I2228" t="s">
        <v>80</v>
      </c>
      <c r="J2228" t="s">
        <v>91</v>
      </c>
      <c r="K2228" t="s">
        <v>78</v>
      </c>
      <c r="L2228" t="s">
        <v>265</v>
      </c>
      <c r="M2228" t="s">
        <v>266</v>
      </c>
      <c r="N2228" t="s">
        <v>536</v>
      </c>
      <c r="O2228" t="s">
        <v>82</v>
      </c>
      <c r="P2228" t="str">
        <f>"4170065138                    "</f>
        <v xml:space="preserve">4170065138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122.88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11</v>
      </c>
      <c r="BJ2228">
        <v>4.0999999999999996</v>
      </c>
      <c r="BK2228">
        <v>11</v>
      </c>
      <c r="BL2228">
        <v>390</v>
      </c>
      <c r="BM2228">
        <v>58.5</v>
      </c>
      <c r="BN2228">
        <v>448.5</v>
      </c>
      <c r="BO2228">
        <v>448.5</v>
      </c>
      <c r="BQ2228" t="s">
        <v>537</v>
      </c>
      <c r="BR2228" t="s">
        <v>97</v>
      </c>
      <c r="BS2228" s="3">
        <v>45952</v>
      </c>
      <c r="BT2228" s="4">
        <v>0.33333333333333331</v>
      </c>
      <c r="BU2228" t="s">
        <v>817</v>
      </c>
      <c r="BV2228" t="s">
        <v>86</v>
      </c>
      <c r="BY2228">
        <v>20358</v>
      </c>
      <c r="CA2228" t="s">
        <v>818</v>
      </c>
      <c r="CC2228" t="s">
        <v>266</v>
      </c>
      <c r="CD2228">
        <v>6230</v>
      </c>
      <c r="CE2228" t="s">
        <v>191</v>
      </c>
      <c r="CF2228" s="3">
        <v>45952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"080068644712"</f>
        <v>080068644712</v>
      </c>
      <c r="F2229" s="3">
        <v>45951</v>
      </c>
      <c r="G2229">
        <v>202607</v>
      </c>
      <c r="H2229" t="s">
        <v>79</v>
      </c>
      <c r="I2229" t="s">
        <v>80</v>
      </c>
      <c r="J2229" t="s">
        <v>91</v>
      </c>
      <c r="K2229" t="s">
        <v>78</v>
      </c>
      <c r="L2229" t="s">
        <v>79</v>
      </c>
      <c r="M2229" t="s">
        <v>80</v>
      </c>
      <c r="N2229" t="s">
        <v>965</v>
      </c>
      <c r="O2229" t="s">
        <v>82</v>
      </c>
      <c r="P2229" t="str">
        <f>"4170065187                    "</f>
        <v xml:space="preserve">4170065187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17.46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55.42</v>
      </c>
      <c r="BM2229">
        <v>8.31</v>
      </c>
      <c r="BN2229">
        <v>63.73</v>
      </c>
      <c r="BO2229">
        <v>63.73</v>
      </c>
      <c r="BQ2229" t="s">
        <v>966</v>
      </c>
      <c r="BR2229" t="s">
        <v>97</v>
      </c>
      <c r="BS2229" s="3">
        <v>45952</v>
      </c>
      <c r="BT2229" s="4">
        <v>0.4201388888888889</v>
      </c>
      <c r="BU2229" t="s">
        <v>2858</v>
      </c>
      <c r="BV2229" t="s">
        <v>86</v>
      </c>
      <c r="BY2229">
        <v>1200</v>
      </c>
      <c r="CA2229" t="s">
        <v>166</v>
      </c>
      <c r="CC2229" t="s">
        <v>80</v>
      </c>
      <c r="CD2229">
        <v>1618</v>
      </c>
      <c r="CE2229" t="s">
        <v>147</v>
      </c>
      <c r="CF2229" s="3">
        <v>45953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"080068644744"</f>
        <v>080068644744</v>
      </c>
      <c r="F2230" s="3">
        <v>45951</v>
      </c>
      <c r="G2230">
        <v>202607</v>
      </c>
      <c r="H2230" t="s">
        <v>79</v>
      </c>
      <c r="I2230" t="s">
        <v>80</v>
      </c>
      <c r="J2230" t="s">
        <v>91</v>
      </c>
      <c r="K2230" t="s">
        <v>78</v>
      </c>
      <c r="L2230" t="s">
        <v>79</v>
      </c>
      <c r="M2230" t="s">
        <v>80</v>
      </c>
      <c r="N2230" t="s">
        <v>357</v>
      </c>
      <c r="O2230" t="s">
        <v>82</v>
      </c>
      <c r="P2230" t="str">
        <f>"4170064900                    "</f>
        <v xml:space="preserve">4170064900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17.46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55.42</v>
      </c>
      <c r="BM2230">
        <v>8.31</v>
      </c>
      <c r="BN2230">
        <v>63.73</v>
      </c>
      <c r="BO2230">
        <v>63.73</v>
      </c>
      <c r="BQ2230" t="s">
        <v>358</v>
      </c>
      <c r="BR2230" t="s">
        <v>97</v>
      </c>
      <c r="BS2230" s="3">
        <v>45952</v>
      </c>
      <c r="BT2230" s="4">
        <v>0.4375</v>
      </c>
      <c r="BU2230" t="s">
        <v>1254</v>
      </c>
      <c r="BV2230" t="s">
        <v>86</v>
      </c>
      <c r="BY2230">
        <v>1200</v>
      </c>
      <c r="CC2230" t="s">
        <v>80</v>
      </c>
      <c r="CD2230">
        <v>1645</v>
      </c>
      <c r="CE2230" t="s">
        <v>147</v>
      </c>
      <c r="CF2230" s="3">
        <v>45953</v>
      </c>
      <c r="CI2230">
        <v>1</v>
      </c>
      <c r="CJ2230">
        <v>1</v>
      </c>
      <c r="CK2230">
        <v>22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"080068644763"</f>
        <v>080068644763</v>
      </c>
      <c r="F2231" s="3">
        <v>45951</v>
      </c>
      <c r="G2231">
        <v>202607</v>
      </c>
      <c r="H2231" t="s">
        <v>79</v>
      </c>
      <c r="I2231" t="s">
        <v>80</v>
      </c>
      <c r="J2231" t="s">
        <v>91</v>
      </c>
      <c r="K2231" t="s">
        <v>78</v>
      </c>
      <c r="L2231" t="s">
        <v>206</v>
      </c>
      <c r="M2231" t="s">
        <v>207</v>
      </c>
      <c r="N2231" t="s">
        <v>1286</v>
      </c>
      <c r="O2231" t="s">
        <v>82</v>
      </c>
      <c r="P2231" t="str">
        <f>"4170064912                    "</f>
        <v xml:space="preserve">4170064912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22.36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70.959999999999994</v>
      </c>
      <c r="BM2231">
        <v>10.64</v>
      </c>
      <c r="BN2231">
        <v>81.599999999999994</v>
      </c>
      <c r="BO2231">
        <v>81.599999999999994</v>
      </c>
      <c r="BQ2231" t="s">
        <v>1287</v>
      </c>
      <c r="BR2231" t="s">
        <v>97</v>
      </c>
      <c r="BS2231" s="3">
        <v>45952</v>
      </c>
      <c r="BT2231" s="4">
        <v>0.4236111111111111</v>
      </c>
      <c r="BU2231" t="s">
        <v>2859</v>
      </c>
      <c r="BV2231" t="s">
        <v>86</v>
      </c>
      <c r="BY2231">
        <v>1200</v>
      </c>
      <c r="CA2231" t="s">
        <v>461</v>
      </c>
      <c r="CC2231" t="s">
        <v>207</v>
      </c>
      <c r="CD2231">
        <v>7530</v>
      </c>
      <c r="CE2231" t="s">
        <v>147</v>
      </c>
      <c r="CF2231" s="3">
        <v>45953</v>
      </c>
      <c r="CI2231">
        <v>1</v>
      </c>
      <c r="CJ2231">
        <v>1</v>
      </c>
      <c r="CK2231">
        <v>21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"080068644779"</f>
        <v>080068644779</v>
      </c>
      <c r="F2232" s="3">
        <v>45951</v>
      </c>
      <c r="G2232">
        <v>202607</v>
      </c>
      <c r="H2232" t="s">
        <v>79</v>
      </c>
      <c r="I2232" t="s">
        <v>80</v>
      </c>
      <c r="J2232" t="s">
        <v>91</v>
      </c>
      <c r="K2232" t="s">
        <v>78</v>
      </c>
      <c r="L2232" t="s">
        <v>223</v>
      </c>
      <c r="M2232" t="s">
        <v>224</v>
      </c>
      <c r="N2232" t="s">
        <v>2860</v>
      </c>
      <c r="O2232" t="s">
        <v>226</v>
      </c>
      <c r="P2232" t="str">
        <f>"4170065015                    "</f>
        <v xml:space="preserve">4170065015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17.47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1.8</v>
      </c>
      <c r="BJ2232">
        <v>2.5</v>
      </c>
      <c r="BK2232">
        <v>3</v>
      </c>
      <c r="BL2232">
        <v>55.44</v>
      </c>
      <c r="BM2232">
        <v>8.32</v>
      </c>
      <c r="BN2232">
        <v>63.76</v>
      </c>
      <c r="BO2232">
        <v>63.76</v>
      </c>
      <c r="BQ2232" t="s">
        <v>2861</v>
      </c>
      <c r="BR2232" t="s">
        <v>97</v>
      </c>
      <c r="BS2232" s="3">
        <v>45952</v>
      </c>
      <c r="BT2232" s="4">
        <v>0.41249999999999998</v>
      </c>
      <c r="BU2232" t="s">
        <v>2862</v>
      </c>
      <c r="BV2232" t="s">
        <v>86</v>
      </c>
      <c r="BY2232">
        <v>12609.6</v>
      </c>
      <c r="CA2232" t="s">
        <v>1595</v>
      </c>
      <c r="CC2232" t="s">
        <v>224</v>
      </c>
      <c r="CD2232">
        <v>1459</v>
      </c>
      <c r="CE2232" t="s">
        <v>107</v>
      </c>
      <c r="CF2232" s="3">
        <v>45953</v>
      </c>
      <c r="CI2232">
        <v>1</v>
      </c>
      <c r="CJ2232">
        <v>1</v>
      </c>
      <c r="CK2232">
        <v>32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"080068644789"</f>
        <v>080068644789</v>
      </c>
      <c r="F2233" s="3">
        <v>45951</v>
      </c>
      <c r="G2233">
        <v>202607</v>
      </c>
      <c r="H2233" t="s">
        <v>79</v>
      </c>
      <c r="I2233" t="s">
        <v>80</v>
      </c>
      <c r="J2233" t="s">
        <v>91</v>
      </c>
      <c r="K2233" t="s">
        <v>78</v>
      </c>
      <c r="L2233" t="s">
        <v>168</v>
      </c>
      <c r="M2233" t="s">
        <v>169</v>
      </c>
      <c r="N2233" t="s">
        <v>1541</v>
      </c>
      <c r="O2233" t="s">
        <v>82</v>
      </c>
      <c r="P2233" t="str">
        <f>"4170064829                    "</f>
        <v xml:space="preserve">4170064829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22.36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70.959999999999994</v>
      </c>
      <c r="BM2233">
        <v>10.64</v>
      </c>
      <c r="BN2233">
        <v>81.599999999999994</v>
      </c>
      <c r="BO2233">
        <v>81.599999999999994</v>
      </c>
      <c r="BQ2233" t="s">
        <v>1542</v>
      </c>
      <c r="BR2233" t="s">
        <v>97</v>
      </c>
      <c r="BS2233" s="3">
        <v>45952</v>
      </c>
      <c r="BT2233" s="4">
        <v>0.38472222222222224</v>
      </c>
      <c r="BU2233" t="s">
        <v>2209</v>
      </c>
      <c r="BV2233" t="s">
        <v>86</v>
      </c>
      <c r="BY2233">
        <v>1200</v>
      </c>
      <c r="CA2233">
        <v>7709040539081</v>
      </c>
      <c r="CC2233" t="s">
        <v>169</v>
      </c>
      <c r="CD2233" s="5" t="s">
        <v>173</v>
      </c>
      <c r="CE2233" t="s">
        <v>147</v>
      </c>
      <c r="CF2233" s="3">
        <v>45952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"080068644820"</f>
        <v>080068644820</v>
      </c>
      <c r="F2234" s="3">
        <v>45951</v>
      </c>
      <c r="G2234">
        <v>202607</v>
      </c>
      <c r="H2234" t="s">
        <v>79</v>
      </c>
      <c r="I2234" t="s">
        <v>80</v>
      </c>
      <c r="J2234" t="s">
        <v>91</v>
      </c>
      <c r="K2234" t="s">
        <v>78</v>
      </c>
      <c r="L2234" t="s">
        <v>121</v>
      </c>
      <c r="M2234" t="s">
        <v>122</v>
      </c>
      <c r="N2234" t="s">
        <v>707</v>
      </c>
      <c r="O2234" t="s">
        <v>82</v>
      </c>
      <c r="P2234" t="str">
        <f>"4170065190                    "</f>
        <v xml:space="preserve">4170065190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22.36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70.959999999999994</v>
      </c>
      <c r="BM2234">
        <v>10.64</v>
      </c>
      <c r="BN2234">
        <v>81.599999999999994</v>
      </c>
      <c r="BO2234">
        <v>81.599999999999994</v>
      </c>
      <c r="BQ2234" t="s">
        <v>708</v>
      </c>
      <c r="BR2234" t="s">
        <v>97</v>
      </c>
      <c r="BS2234" s="3">
        <v>45952</v>
      </c>
      <c r="BT2234" s="4">
        <v>0.41319444444444442</v>
      </c>
      <c r="BU2234" t="s">
        <v>823</v>
      </c>
      <c r="BV2234" t="s">
        <v>86</v>
      </c>
      <c r="BY2234">
        <v>1200</v>
      </c>
      <c r="CA2234" t="s">
        <v>651</v>
      </c>
      <c r="CC2234" t="s">
        <v>122</v>
      </c>
      <c r="CD2234">
        <v>4001</v>
      </c>
      <c r="CE2234" t="s">
        <v>147</v>
      </c>
      <c r="CF2234" s="3">
        <v>45953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"080068644824"</f>
        <v>080068644824</v>
      </c>
      <c r="F2235" s="3">
        <v>45951</v>
      </c>
      <c r="G2235">
        <v>202607</v>
      </c>
      <c r="H2235" t="s">
        <v>79</v>
      </c>
      <c r="I2235" t="s">
        <v>80</v>
      </c>
      <c r="J2235" t="s">
        <v>91</v>
      </c>
      <c r="K2235" t="s">
        <v>78</v>
      </c>
      <c r="L2235" t="s">
        <v>453</v>
      </c>
      <c r="M2235" t="s">
        <v>454</v>
      </c>
      <c r="N2235" t="s">
        <v>2863</v>
      </c>
      <c r="O2235" t="s">
        <v>82</v>
      </c>
      <c r="P2235" t="str">
        <f>"4170065189                    "</f>
        <v xml:space="preserve">4170065189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22.36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0.9</v>
      </c>
      <c r="BK2235">
        <v>1</v>
      </c>
      <c r="BL2235">
        <v>70.959999999999994</v>
      </c>
      <c r="BM2235">
        <v>10.64</v>
      </c>
      <c r="BN2235">
        <v>81.599999999999994</v>
      </c>
      <c r="BO2235">
        <v>81.599999999999994</v>
      </c>
      <c r="BQ2235" t="s">
        <v>2864</v>
      </c>
      <c r="BR2235" t="s">
        <v>97</v>
      </c>
      <c r="BS2235" s="3">
        <v>45952</v>
      </c>
      <c r="BT2235" s="4">
        <v>0.37638888888888888</v>
      </c>
      <c r="BU2235" t="s">
        <v>2146</v>
      </c>
      <c r="BV2235" t="s">
        <v>86</v>
      </c>
      <c r="BY2235">
        <v>4275</v>
      </c>
      <c r="CA2235" t="s">
        <v>457</v>
      </c>
      <c r="CC2235" t="s">
        <v>454</v>
      </c>
      <c r="CD2235">
        <v>3610</v>
      </c>
      <c r="CE2235" t="s">
        <v>191</v>
      </c>
      <c r="CF2235" s="3">
        <v>45952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"080068644845"</f>
        <v>080068644845</v>
      </c>
      <c r="F2236" s="3">
        <v>45951</v>
      </c>
      <c r="G2236">
        <v>202607</v>
      </c>
      <c r="H2236" t="s">
        <v>79</v>
      </c>
      <c r="I2236" t="s">
        <v>80</v>
      </c>
      <c r="J2236" t="s">
        <v>91</v>
      </c>
      <c r="K2236" t="s">
        <v>78</v>
      </c>
      <c r="L2236" t="s">
        <v>542</v>
      </c>
      <c r="M2236" t="s">
        <v>543</v>
      </c>
      <c r="N2236" t="s">
        <v>915</v>
      </c>
      <c r="O2236" t="s">
        <v>82</v>
      </c>
      <c r="P2236" t="str">
        <f>"4170065207                    "</f>
        <v xml:space="preserve">4170065207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17.46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55.42</v>
      </c>
      <c r="BM2236">
        <v>8.31</v>
      </c>
      <c r="BN2236">
        <v>63.73</v>
      </c>
      <c r="BO2236">
        <v>63.73</v>
      </c>
      <c r="BQ2236" t="s">
        <v>916</v>
      </c>
      <c r="BR2236" t="s">
        <v>97</v>
      </c>
      <c r="BS2236" s="3">
        <v>45952</v>
      </c>
      <c r="BT2236" s="4">
        <v>0.38124999999999998</v>
      </c>
      <c r="BU2236" t="s">
        <v>917</v>
      </c>
      <c r="BV2236" t="s">
        <v>86</v>
      </c>
      <c r="BY2236">
        <v>1200</v>
      </c>
      <c r="CA2236" t="s">
        <v>918</v>
      </c>
      <c r="CC2236" t="s">
        <v>543</v>
      </c>
      <c r="CD2236">
        <v>1682</v>
      </c>
      <c r="CE2236" t="s">
        <v>147</v>
      </c>
      <c r="CF2236" s="3">
        <v>45953</v>
      </c>
      <c r="CI2236">
        <v>1</v>
      </c>
      <c r="CJ2236">
        <v>1</v>
      </c>
      <c r="CK2236">
        <v>22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"080068644867"</f>
        <v>080068644867</v>
      </c>
      <c r="F2237" s="3">
        <v>45951</v>
      </c>
      <c r="G2237">
        <v>202607</v>
      </c>
      <c r="H2237" t="s">
        <v>79</v>
      </c>
      <c r="I2237" t="s">
        <v>80</v>
      </c>
      <c r="J2237" t="s">
        <v>91</v>
      </c>
      <c r="K2237" t="s">
        <v>78</v>
      </c>
      <c r="L2237" t="s">
        <v>108</v>
      </c>
      <c r="M2237" t="s">
        <v>109</v>
      </c>
      <c r="N2237" t="s">
        <v>548</v>
      </c>
      <c r="O2237" t="s">
        <v>82</v>
      </c>
      <c r="P2237" t="str">
        <f>"4170065125                    "</f>
        <v xml:space="preserve">4170065125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22.36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2</v>
      </c>
      <c r="BJ2237">
        <v>1.1000000000000001</v>
      </c>
      <c r="BK2237">
        <v>2</v>
      </c>
      <c r="BL2237">
        <v>70.959999999999994</v>
      </c>
      <c r="BM2237">
        <v>10.64</v>
      </c>
      <c r="BN2237">
        <v>81.599999999999994</v>
      </c>
      <c r="BO2237">
        <v>81.599999999999994</v>
      </c>
      <c r="BQ2237" t="s">
        <v>549</v>
      </c>
      <c r="BR2237" t="s">
        <v>97</v>
      </c>
      <c r="BS2237" s="3">
        <v>45952</v>
      </c>
      <c r="BT2237" s="4">
        <v>0.35138888888888886</v>
      </c>
      <c r="BU2237" t="s">
        <v>2851</v>
      </c>
      <c r="BV2237" t="s">
        <v>86</v>
      </c>
      <c r="BY2237">
        <v>5510</v>
      </c>
      <c r="CA2237" t="s">
        <v>1090</v>
      </c>
      <c r="CC2237" t="s">
        <v>109</v>
      </c>
      <c r="CD2237">
        <v>6001</v>
      </c>
      <c r="CE2237" t="s">
        <v>191</v>
      </c>
      <c r="CF2237" s="3">
        <v>45952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"080068644869"</f>
        <v>080068644869</v>
      </c>
      <c r="F2238" s="3">
        <v>45951</v>
      </c>
      <c r="G2238">
        <v>202607</v>
      </c>
      <c r="H2238" t="s">
        <v>79</v>
      </c>
      <c r="I2238" t="s">
        <v>80</v>
      </c>
      <c r="J2238" t="s">
        <v>91</v>
      </c>
      <c r="K2238" t="s">
        <v>78</v>
      </c>
      <c r="L2238" t="s">
        <v>79</v>
      </c>
      <c r="M2238" t="s">
        <v>80</v>
      </c>
      <c r="N2238" t="s">
        <v>628</v>
      </c>
      <c r="O2238" t="s">
        <v>82</v>
      </c>
      <c r="P2238" t="str">
        <f>"4170065173                    "</f>
        <v xml:space="preserve">4170065173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17.46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55.42</v>
      </c>
      <c r="BM2238">
        <v>8.31</v>
      </c>
      <c r="BN2238">
        <v>63.73</v>
      </c>
      <c r="BO2238">
        <v>63.73</v>
      </c>
      <c r="BQ2238" t="s">
        <v>629</v>
      </c>
      <c r="BR2238" t="s">
        <v>97</v>
      </c>
      <c r="BS2238" s="3">
        <v>45952</v>
      </c>
      <c r="BT2238" s="4">
        <v>0.40902777777777777</v>
      </c>
      <c r="BU2238" t="s">
        <v>2865</v>
      </c>
      <c r="BV2238" t="s">
        <v>86</v>
      </c>
      <c r="BY2238">
        <v>1200</v>
      </c>
      <c r="CA2238" t="s">
        <v>88</v>
      </c>
      <c r="CC2238" t="s">
        <v>80</v>
      </c>
      <c r="CD2238">
        <v>1601</v>
      </c>
      <c r="CE2238" t="s">
        <v>147</v>
      </c>
      <c r="CF2238" s="3">
        <v>45952</v>
      </c>
      <c r="CI2238">
        <v>1</v>
      </c>
      <c r="CJ2238">
        <v>1</v>
      </c>
      <c r="CK2238">
        <v>22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"080068644911"</f>
        <v>080068644911</v>
      </c>
      <c r="F2239" s="3">
        <v>45951</v>
      </c>
      <c r="G2239">
        <v>202607</v>
      </c>
      <c r="H2239" t="s">
        <v>79</v>
      </c>
      <c r="I2239" t="s">
        <v>80</v>
      </c>
      <c r="J2239" t="s">
        <v>91</v>
      </c>
      <c r="K2239" t="s">
        <v>78</v>
      </c>
      <c r="L2239" t="s">
        <v>1684</v>
      </c>
      <c r="M2239" t="s">
        <v>1685</v>
      </c>
      <c r="N2239" t="s">
        <v>1686</v>
      </c>
      <c r="O2239" t="s">
        <v>82</v>
      </c>
      <c r="P2239" t="str">
        <f>"4170064876                    "</f>
        <v xml:space="preserve">4170064876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180.23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6</v>
      </c>
      <c r="BJ2239">
        <v>8.9</v>
      </c>
      <c r="BK2239">
        <v>9</v>
      </c>
      <c r="BL2239">
        <v>572.03</v>
      </c>
      <c r="BM2239">
        <v>85.8</v>
      </c>
      <c r="BN2239">
        <v>657.83</v>
      </c>
      <c r="BO2239">
        <v>657.83</v>
      </c>
      <c r="BQ2239" t="s">
        <v>1687</v>
      </c>
      <c r="BR2239" t="s">
        <v>97</v>
      </c>
      <c r="BS2239" s="3">
        <v>45953</v>
      </c>
      <c r="BT2239" s="4">
        <v>0.3576388888888889</v>
      </c>
      <c r="BU2239" t="s">
        <v>2487</v>
      </c>
      <c r="BV2239" t="s">
        <v>90</v>
      </c>
      <c r="BY2239">
        <v>44640</v>
      </c>
      <c r="CC2239" t="s">
        <v>1685</v>
      </c>
      <c r="CD2239">
        <v>6742</v>
      </c>
      <c r="CE2239" t="s">
        <v>191</v>
      </c>
      <c r="CF2239" s="3">
        <v>45953</v>
      </c>
      <c r="CI2239">
        <v>2</v>
      </c>
      <c r="CJ2239">
        <v>2</v>
      </c>
      <c r="CK2239">
        <v>23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"080068644931"</f>
        <v>080068644931</v>
      </c>
      <c r="F2240" s="3">
        <v>45951</v>
      </c>
      <c r="G2240">
        <v>202607</v>
      </c>
      <c r="H2240" t="s">
        <v>79</v>
      </c>
      <c r="I2240" t="s">
        <v>80</v>
      </c>
      <c r="J2240" t="s">
        <v>91</v>
      </c>
      <c r="K2240" t="s">
        <v>78</v>
      </c>
      <c r="L2240" t="s">
        <v>453</v>
      </c>
      <c r="M2240" t="s">
        <v>454</v>
      </c>
      <c r="N2240" t="s">
        <v>639</v>
      </c>
      <c r="O2240" t="s">
        <v>82</v>
      </c>
      <c r="P2240" t="str">
        <f>"4170064864                    "</f>
        <v xml:space="preserve">4170064864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100.54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8.6</v>
      </c>
      <c r="BJ2240">
        <v>7.7</v>
      </c>
      <c r="BK2240">
        <v>9</v>
      </c>
      <c r="BL2240">
        <v>319.10000000000002</v>
      </c>
      <c r="BM2240">
        <v>47.87</v>
      </c>
      <c r="BN2240">
        <v>366.97</v>
      </c>
      <c r="BO2240">
        <v>366.97</v>
      </c>
      <c r="BQ2240" t="s">
        <v>786</v>
      </c>
      <c r="BR2240" t="s">
        <v>97</v>
      </c>
      <c r="BS2240" s="3">
        <v>45952</v>
      </c>
      <c r="BT2240" s="4">
        <v>0.39374999999999999</v>
      </c>
      <c r="BU2240" t="s">
        <v>641</v>
      </c>
      <c r="BV2240" t="s">
        <v>86</v>
      </c>
      <c r="BY2240">
        <v>38383.800000000003</v>
      </c>
      <c r="CA2240" t="s">
        <v>457</v>
      </c>
      <c r="CC2240" t="s">
        <v>454</v>
      </c>
      <c r="CD2240">
        <v>3610</v>
      </c>
      <c r="CE2240" t="s">
        <v>191</v>
      </c>
      <c r="CF2240" s="3">
        <v>45952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"080068644950"</f>
        <v>080068644950</v>
      </c>
      <c r="F2241" s="3">
        <v>45951</v>
      </c>
      <c r="G2241">
        <v>202607</v>
      </c>
      <c r="H2241" t="s">
        <v>79</v>
      </c>
      <c r="I2241" t="s">
        <v>80</v>
      </c>
      <c r="J2241" t="s">
        <v>91</v>
      </c>
      <c r="K2241" t="s">
        <v>78</v>
      </c>
      <c r="L2241" t="s">
        <v>453</v>
      </c>
      <c r="M2241" t="s">
        <v>454</v>
      </c>
      <c r="N2241" t="s">
        <v>665</v>
      </c>
      <c r="O2241" t="s">
        <v>82</v>
      </c>
      <c r="P2241" t="str">
        <f>"4170064862                    "</f>
        <v xml:space="preserve">4170064862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67.03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6</v>
      </c>
      <c r="BJ2241">
        <v>3.4</v>
      </c>
      <c r="BK2241">
        <v>6</v>
      </c>
      <c r="BL2241">
        <v>212.75</v>
      </c>
      <c r="BM2241">
        <v>31.91</v>
      </c>
      <c r="BN2241">
        <v>244.66</v>
      </c>
      <c r="BO2241">
        <v>244.66</v>
      </c>
      <c r="BQ2241" t="s">
        <v>666</v>
      </c>
      <c r="BR2241" t="s">
        <v>97</v>
      </c>
      <c r="BS2241" s="3">
        <v>45952</v>
      </c>
      <c r="BT2241" s="4">
        <v>0.47638888888888886</v>
      </c>
      <c r="BU2241" t="s">
        <v>2854</v>
      </c>
      <c r="BV2241" t="s">
        <v>86</v>
      </c>
      <c r="BY2241">
        <v>16965</v>
      </c>
      <c r="CA2241" t="s">
        <v>742</v>
      </c>
      <c r="CC2241" t="s">
        <v>454</v>
      </c>
      <c r="CD2241">
        <v>3610</v>
      </c>
      <c r="CE2241" t="s">
        <v>191</v>
      </c>
      <c r="CF2241" s="3">
        <v>45952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"080068644989"</f>
        <v>080068644989</v>
      </c>
      <c r="F2242" s="3">
        <v>45951</v>
      </c>
      <c r="G2242">
        <v>202607</v>
      </c>
      <c r="H2242" t="s">
        <v>79</v>
      </c>
      <c r="I2242" t="s">
        <v>80</v>
      </c>
      <c r="J2242" t="s">
        <v>91</v>
      </c>
      <c r="K2242" t="s">
        <v>78</v>
      </c>
      <c r="L2242" t="s">
        <v>108</v>
      </c>
      <c r="M2242" t="s">
        <v>109</v>
      </c>
      <c r="N2242" t="s">
        <v>956</v>
      </c>
      <c r="O2242" t="s">
        <v>82</v>
      </c>
      <c r="P2242" t="str">
        <f>"4170065186                    "</f>
        <v xml:space="preserve">4170065186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22.36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1.8</v>
      </c>
      <c r="BK2242">
        <v>2</v>
      </c>
      <c r="BL2242">
        <v>70.959999999999994</v>
      </c>
      <c r="BM2242">
        <v>10.64</v>
      </c>
      <c r="BN2242">
        <v>81.599999999999994</v>
      </c>
      <c r="BO2242">
        <v>81.599999999999994</v>
      </c>
      <c r="BQ2242" t="s">
        <v>957</v>
      </c>
      <c r="BR2242" t="s">
        <v>97</v>
      </c>
      <c r="BS2242" s="3">
        <v>45952</v>
      </c>
      <c r="BT2242" s="4">
        <v>0.38333333333333336</v>
      </c>
      <c r="BU2242" t="s">
        <v>1144</v>
      </c>
      <c r="BV2242" t="s">
        <v>86</v>
      </c>
      <c r="BY2242">
        <v>8816</v>
      </c>
      <c r="CA2242" t="s">
        <v>1145</v>
      </c>
      <c r="CC2242" t="s">
        <v>109</v>
      </c>
      <c r="CD2242">
        <v>6001</v>
      </c>
      <c r="CE2242" t="s">
        <v>191</v>
      </c>
      <c r="CF2242" s="3">
        <v>45952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"080068645026"</f>
        <v>080068645026</v>
      </c>
      <c r="F2243" s="3">
        <v>45951</v>
      </c>
      <c r="G2243">
        <v>202607</v>
      </c>
      <c r="H2243" t="s">
        <v>79</v>
      </c>
      <c r="I2243" t="s">
        <v>80</v>
      </c>
      <c r="J2243" t="s">
        <v>91</v>
      </c>
      <c r="K2243" t="s">
        <v>78</v>
      </c>
      <c r="L2243" t="s">
        <v>430</v>
      </c>
      <c r="M2243" t="s">
        <v>431</v>
      </c>
      <c r="N2243" t="s">
        <v>432</v>
      </c>
      <c r="O2243" t="s">
        <v>82</v>
      </c>
      <c r="P2243" t="str">
        <f>"4170064835                    "</f>
        <v xml:space="preserve">4170064835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62.87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3</v>
      </c>
      <c r="BJ2243">
        <v>1.8</v>
      </c>
      <c r="BK2243">
        <v>3</v>
      </c>
      <c r="BL2243">
        <v>199.55</v>
      </c>
      <c r="BM2243">
        <v>29.93</v>
      </c>
      <c r="BN2243">
        <v>229.48</v>
      </c>
      <c r="BO2243">
        <v>229.48</v>
      </c>
      <c r="BQ2243" t="s">
        <v>433</v>
      </c>
      <c r="BR2243" t="s">
        <v>97</v>
      </c>
      <c r="BS2243" s="3">
        <v>45953</v>
      </c>
      <c r="BT2243" s="4">
        <v>0.375</v>
      </c>
      <c r="BU2243" t="s">
        <v>840</v>
      </c>
      <c r="BV2243" t="s">
        <v>86</v>
      </c>
      <c r="BY2243">
        <v>8816</v>
      </c>
      <c r="CA2243" t="s">
        <v>841</v>
      </c>
      <c r="CC2243" t="s">
        <v>431</v>
      </c>
      <c r="CD2243">
        <v>4490</v>
      </c>
      <c r="CE2243" t="s">
        <v>191</v>
      </c>
      <c r="CF2243" s="3">
        <v>45953</v>
      </c>
      <c r="CI2243">
        <v>5</v>
      </c>
      <c r="CJ2243">
        <v>2</v>
      </c>
      <c r="CK2243">
        <v>23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"080068645051"</f>
        <v>080068645051</v>
      </c>
      <c r="F2244" s="3">
        <v>45951</v>
      </c>
      <c r="G2244">
        <v>202607</v>
      </c>
      <c r="H2244" t="s">
        <v>79</v>
      </c>
      <c r="I2244" t="s">
        <v>80</v>
      </c>
      <c r="J2244" t="s">
        <v>91</v>
      </c>
      <c r="K2244" t="s">
        <v>78</v>
      </c>
      <c r="L2244" t="s">
        <v>79</v>
      </c>
      <c r="M2244" t="s">
        <v>80</v>
      </c>
      <c r="N2244" t="s">
        <v>577</v>
      </c>
      <c r="O2244" t="s">
        <v>82</v>
      </c>
      <c r="P2244" t="str">
        <f>"4170065179                    "</f>
        <v xml:space="preserve">4170065179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17.46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1.9</v>
      </c>
      <c r="BJ2244">
        <v>3.3</v>
      </c>
      <c r="BK2244">
        <v>4</v>
      </c>
      <c r="BL2244">
        <v>55.42</v>
      </c>
      <c r="BM2244">
        <v>8.31</v>
      </c>
      <c r="BN2244">
        <v>63.73</v>
      </c>
      <c r="BO2244">
        <v>63.73</v>
      </c>
      <c r="BQ2244" t="s">
        <v>578</v>
      </c>
      <c r="BR2244" t="s">
        <v>97</v>
      </c>
      <c r="BS2244" s="3">
        <v>45952</v>
      </c>
      <c r="BT2244" s="4">
        <v>0.38541666666666669</v>
      </c>
      <c r="BU2244" t="s">
        <v>579</v>
      </c>
      <c r="BV2244" t="s">
        <v>86</v>
      </c>
      <c r="BY2244">
        <v>16735.900000000001</v>
      </c>
      <c r="CA2244" t="s">
        <v>580</v>
      </c>
      <c r="CC2244" t="s">
        <v>80</v>
      </c>
      <c r="CD2244">
        <v>1619</v>
      </c>
      <c r="CE2244" t="s">
        <v>191</v>
      </c>
      <c r="CF2244" s="3">
        <v>45953</v>
      </c>
      <c r="CI2244">
        <v>1</v>
      </c>
      <c r="CJ2244">
        <v>1</v>
      </c>
      <c r="CK2244">
        <v>22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"080068645071"</f>
        <v>080068645071</v>
      </c>
      <c r="F2245" s="3">
        <v>45951</v>
      </c>
      <c r="G2245">
        <v>202607</v>
      </c>
      <c r="H2245" t="s">
        <v>79</v>
      </c>
      <c r="I2245" t="s">
        <v>80</v>
      </c>
      <c r="J2245" t="s">
        <v>91</v>
      </c>
      <c r="K2245" t="s">
        <v>78</v>
      </c>
      <c r="L2245" t="s">
        <v>271</v>
      </c>
      <c r="M2245" t="s">
        <v>272</v>
      </c>
      <c r="N2245" t="s">
        <v>1428</v>
      </c>
      <c r="O2245" t="s">
        <v>82</v>
      </c>
      <c r="P2245" t="str">
        <f>"4170064883                    "</f>
        <v xml:space="preserve">4170064883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17.46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1.9</v>
      </c>
      <c r="BK2245">
        <v>2</v>
      </c>
      <c r="BL2245">
        <v>55.42</v>
      </c>
      <c r="BM2245">
        <v>8.31</v>
      </c>
      <c r="BN2245">
        <v>63.73</v>
      </c>
      <c r="BO2245">
        <v>63.73</v>
      </c>
      <c r="BQ2245" t="s">
        <v>1429</v>
      </c>
      <c r="BR2245" t="s">
        <v>97</v>
      </c>
      <c r="BS2245" s="3">
        <v>45952</v>
      </c>
      <c r="BT2245" s="4">
        <v>0.35208333333333336</v>
      </c>
      <c r="BU2245" t="s">
        <v>2193</v>
      </c>
      <c r="BV2245" t="s">
        <v>86</v>
      </c>
      <c r="BY2245">
        <v>9600</v>
      </c>
      <c r="CA2245" t="s">
        <v>1659</v>
      </c>
      <c r="CC2245" t="s">
        <v>272</v>
      </c>
      <c r="CD2245">
        <v>1406</v>
      </c>
      <c r="CE2245" t="s">
        <v>191</v>
      </c>
      <c r="CF2245" s="3">
        <v>45953</v>
      </c>
      <c r="CI2245">
        <v>1</v>
      </c>
      <c r="CJ2245">
        <v>1</v>
      </c>
      <c r="CK2245">
        <v>22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"080068645122"</f>
        <v>080068645122</v>
      </c>
      <c r="F2246" s="3">
        <v>45951</v>
      </c>
      <c r="G2246">
        <v>202607</v>
      </c>
      <c r="H2246" t="s">
        <v>79</v>
      </c>
      <c r="I2246" t="s">
        <v>80</v>
      </c>
      <c r="J2246" t="s">
        <v>91</v>
      </c>
      <c r="K2246" t="s">
        <v>78</v>
      </c>
      <c r="L2246" t="s">
        <v>809</v>
      </c>
      <c r="M2246" t="s">
        <v>810</v>
      </c>
      <c r="N2246" t="s">
        <v>2866</v>
      </c>
      <c r="O2246" t="s">
        <v>82</v>
      </c>
      <c r="P2246" t="str">
        <f>"4170064846                    "</f>
        <v xml:space="preserve">4170064846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17.46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55.42</v>
      </c>
      <c r="BM2246">
        <v>8.31</v>
      </c>
      <c r="BN2246">
        <v>63.73</v>
      </c>
      <c r="BO2246">
        <v>63.73</v>
      </c>
      <c r="BQ2246" t="s">
        <v>2867</v>
      </c>
      <c r="BR2246" t="s">
        <v>97</v>
      </c>
      <c r="BS2246" s="3">
        <v>45952</v>
      </c>
      <c r="BT2246" s="4">
        <v>0.34861111111111109</v>
      </c>
      <c r="BU2246" t="s">
        <v>2133</v>
      </c>
      <c r="BV2246" t="s">
        <v>86</v>
      </c>
      <c r="BY2246">
        <v>1200</v>
      </c>
      <c r="CA2246" t="s">
        <v>1356</v>
      </c>
      <c r="CC2246" t="s">
        <v>810</v>
      </c>
      <c r="CD2246">
        <v>1709</v>
      </c>
      <c r="CE2246" t="s">
        <v>147</v>
      </c>
      <c r="CF2246" s="3">
        <v>45952</v>
      </c>
      <c r="CI2246">
        <v>1</v>
      </c>
      <c r="CJ2246">
        <v>1</v>
      </c>
      <c r="CK2246">
        <v>22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"080068645144"</f>
        <v>080068645144</v>
      </c>
      <c r="F2247" s="3">
        <v>45951</v>
      </c>
      <c r="G2247">
        <v>202607</v>
      </c>
      <c r="H2247" t="s">
        <v>79</v>
      </c>
      <c r="I2247" t="s">
        <v>80</v>
      </c>
      <c r="J2247" t="s">
        <v>91</v>
      </c>
      <c r="K2247" t="s">
        <v>78</v>
      </c>
      <c r="L2247" t="s">
        <v>322</v>
      </c>
      <c r="M2247" t="s">
        <v>322</v>
      </c>
      <c r="N2247" t="s">
        <v>483</v>
      </c>
      <c r="O2247" t="s">
        <v>82</v>
      </c>
      <c r="P2247" t="str">
        <f>"4170065184                    "</f>
        <v xml:space="preserve">4170065184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43.31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137.47</v>
      </c>
      <c r="BM2247">
        <v>20.62</v>
      </c>
      <c r="BN2247">
        <v>158.09</v>
      </c>
      <c r="BO2247">
        <v>158.09</v>
      </c>
      <c r="BQ2247" t="s">
        <v>486</v>
      </c>
      <c r="BR2247" t="s">
        <v>97</v>
      </c>
      <c r="BS2247" s="3">
        <v>45952</v>
      </c>
      <c r="BT2247" s="4">
        <v>0.53819444444444442</v>
      </c>
      <c r="BU2247" t="s">
        <v>485</v>
      </c>
      <c r="BV2247" t="s">
        <v>86</v>
      </c>
      <c r="BY2247">
        <v>1200</v>
      </c>
      <c r="CA2247" t="s">
        <v>326</v>
      </c>
      <c r="CC2247" t="s">
        <v>322</v>
      </c>
      <c r="CD2247">
        <v>7646</v>
      </c>
      <c r="CE2247" t="s">
        <v>147</v>
      </c>
      <c r="CF2247" s="3">
        <v>45953</v>
      </c>
      <c r="CI2247">
        <v>1</v>
      </c>
      <c r="CJ2247">
        <v>1</v>
      </c>
      <c r="CK2247">
        <v>23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"080068645164"</f>
        <v>080068645164</v>
      </c>
      <c r="F2248" s="3">
        <v>45951</v>
      </c>
      <c r="G2248">
        <v>202607</v>
      </c>
      <c r="H2248" t="s">
        <v>79</v>
      </c>
      <c r="I2248" t="s">
        <v>80</v>
      </c>
      <c r="J2248" t="s">
        <v>91</v>
      </c>
      <c r="K2248" t="s">
        <v>78</v>
      </c>
      <c r="L2248" t="s">
        <v>79</v>
      </c>
      <c r="M2248" t="s">
        <v>80</v>
      </c>
      <c r="N2248" t="s">
        <v>577</v>
      </c>
      <c r="O2248" t="s">
        <v>82</v>
      </c>
      <c r="P2248" t="str">
        <f>"4170064922                    "</f>
        <v xml:space="preserve">4170064922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17.46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55.42</v>
      </c>
      <c r="BM2248">
        <v>8.31</v>
      </c>
      <c r="BN2248">
        <v>63.73</v>
      </c>
      <c r="BO2248">
        <v>63.73</v>
      </c>
      <c r="BQ2248" t="s">
        <v>578</v>
      </c>
      <c r="BR2248" t="s">
        <v>97</v>
      </c>
      <c r="BS2248" s="3">
        <v>45952</v>
      </c>
      <c r="BT2248" s="4">
        <v>0.38541666666666669</v>
      </c>
      <c r="BU2248" t="s">
        <v>579</v>
      </c>
      <c r="BV2248" t="s">
        <v>86</v>
      </c>
      <c r="BY2248">
        <v>1200</v>
      </c>
      <c r="CA2248" t="s">
        <v>580</v>
      </c>
      <c r="CC2248" t="s">
        <v>80</v>
      </c>
      <c r="CD2248">
        <v>1619</v>
      </c>
      <c r="CE2248" t="s">
        <v>147</v>
      </c>
      <c r="CF2248" s="3">
        <v>45953</v>
      </c>
      <c r="CI2248">
        <v>1</v>
      </c>
      <c r="CJ2248">
        <v>1</v>
      </c>
      <c r="CK2248">
        <v>22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"080068645202"</f>
        <v>080068645202</v>
      </c>
      <c r="F2249" s="3">
        <v>45951</v>
      </c>
      <c r="G2249">
        <v>202607</v>
      </c>
      <c r="H2249" t="s">
        <v>79</v>
      </c>
      <c r="I2249" t="s">
        <v>80</v>
      </c>
      <c r="J2249" t="s">
        <v>91</v>
      </c>
      <c r="K2249" t="s">
        <v>78</v>
      </c>
      <c r="L2249" t="s">
        <v>79</v>
      </c>
      <c r="M2249" t="s">
        <v>80</v>
      </c>
      <c r="N2249" t="s">
        <v>1986</v>
      </c>
      <c r="O2249" t="s">
        <v>82</v>
      </c>
      <c r="P2249" t="str">
        <f>"4170065171                    "</f>
        <v xml:space="preserve">4170065171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17.46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55.42</v>
      </c>
      <c r="BM2249">
        <v>8.31</v>
      </c>
      <c r="BN2249">
        <v>63.73</v>
      </c>
      <c r="BO2249">
        <v>63.73</v>
      </c>
      <c r="BQ2249" t="s">
        <v>1987</v>
      </c>
      <c r="BR2249" t="s">
        <v>97</v>
      </c>
      <c r="BS2249" s="3">
        <v>45952</v>
      </c>
      <c r="BT2249" s="4">
        <v>0.42708333333333331</v>
      </c>
      <c r="BU2249" t="s">
        <v>1988</v>
      </c>
      <c r="BV2249" t="s">
        <v>86</v>
      </c>
      <c r="BY2249">
        <v>1200</v>
      </c>
      <c r="CA2249" t="s">
        <v>166</v>
      </c>
      <c r="CC2249" t="s">
        <v>80</v>
      </c>
      <c r="CD2249">
        <v>1624</v>
      </c>
      <c r="CE2249" t="s">
        <v>147</v>
      </c>
      <c r="CF2249" s="3">
        <v>45953</v>
      </c>
      <c r="CI2249">
        <v>1</v>
      </c>
      <c r="CJ2249">
        <v>1</v>
      </c>
      <c r="CK2249">
        <v>22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"080068645242"</f>
        <v>080068645242</v>
      </c>
      <c r="F2250" s="3">
        <v>45951</v>
      </c>
      <c r="G2250">
        <v>202607</v>
      </c>
      <c r="H2250" t="s">
        <v>79</v>
      </c>
      <c r="I2250" t="s">
        <v>80</v>
      </c>
      <c r="J2250" t="s">
        <v>91</v>
      </c>
      <c r="K2250" t="s">
        <v>78</v>
      </c>
      <c r="L2250" t="s">
        <v>223</v>
      </c>
      <c r="M2250" t="s">
        <v>224</v>
      </c>
      <c r="N2250" t="s">
        <v>1729</v>
      </c>
      <c r="O2250" t="s">
        <v>82</v>
      </c>
      <c r="P2250" t="str">
        <f>"4170064925                    "</f>
        <v xml:space="preserve">4170064925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17.46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55.42</v>
      </c>
      <c r="BM2250">
        <v>8.31</v>
      </c>
      <c r="BN2250">
        <v>63.73</v>
      </c>
      <c r="BO2250">
        <v>63.73</v>
      </c>
      <c r="BQ2250" t="s">
        <v>2868</v>
      </c>
      <c r="BR2250" t="s">
        <v>97</v>
      </c>
      <c r="BS2250" s="3">
        <v>45952</v>
      </c>
      <c r="BT2250" s="4">
        <v>0.3298611111111111</v>
      </c>
      <c r="BU2250" t="s">
        <v>1731</v>
      </c>
      <c r="BV2250" t="s">
        <v>86</v>
      </c>
      <c r="BY2250">
        <v>1200</v>
      </c>
      <c r="CA2250" t="s">
        <v>508</v>
      </c>
      <c r="CC2250" t="s">
        <v>224</v>
      </c>
      <c r="CD2250">
        <v>1459</v>
      </c>
      <c r="CE2250" t="s">
        <v>147</v>
      </c>
      <c r="CF2250" s="3">
        <v>45952</v>
      </c>
      <c r="CI2250">
        <v>1</v>
      </c>
      <c r="CJ2250">
        <v>1</v>
      </c>
      <c r="CK2250">
        <v>22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"080068645271"</f>
        <v>080068645271</v>
      </c>
      <c r="F2251" s="3">
        <v>45951</v>
      </c>
      <c r="G2251">
        <v>202607</v>
      </c>
      <c r="H2251" t="s">
        <v>79</v>
      </c>
      <c r="I2251" t="s">
        <v>80</v>
      </c>
      <c r="J2251" t="s">
        <v>91</v>
      </c>
      <c r="K2251" t="s">
        <v>78</v>
      </c>
      <c r="L2251" t="s">
        <v>218</v>
      </c>
      <c r="M2251" t="s">
        <v>219</v>
      </c>
      <c r="N2251" t="s">
        <v>443</v>
      </c>
      <c r="O2251" t="s">
        <v>82</v>
      </c>
      <c r="P2251" t="str">
        <f>"4170065212                    "</f>
        <v xml:space="preserve">4170065212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17.46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55.42</v>
      </c>
      <c r="BM2251">
        <v>8.31</v>
      </c>
      <c r="BN2251">
        <v>63.73</v>
      </c>
      <c r="BO2251">
        <v>63.73</v>
      </c>
      <c r="BQ2251" t="s">
        <v>444</v>
      </c>
      <c r="BR2251" t="s">
        <v>97</v>
      </c>
      <c r="BS2251" s="3">
        <v>45952</v>
      </c>
      <c r="BT2251" s="4">
        <v>0.41666666666666669</v>
      </c>
      <c r="BU2251" t="s">
        <v>2446</v>
      </c>
      <c r="BV2251" t="s">
        <v>86</v>
      </c>
      <c r="BY2251">
        <v>1200</v>
      </c>
      <c r="CA2251" t="s">
        <v>1434</v>
      </c>
      <c r="CC2251" t="s">
        <v>219</v>
      </c>
      <c r="CD2251">
        <v>1559</v>
      </c>
      <c r="CE2251" t="s">
        <v>147</v>
      </c>
      <c r="CF2251" s="3">
        <v>45952</v>
      </c>
      <c r="CI2251">
        <v>1</v>
      </c>
      <c r="CJ2251">
        <v>1</v>
      </c>
      <c r="CK2251">
        <v>22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"080068645273"</f>
        <v>080068645273</v>
      </c>
      <c r="F2252" s="3">
        <v>45951</v>
      </c>
      <c r="G2252">
        <v>202607</v>
      </c>
      <c r="H2252" t="s">
        <v>79</v>
      </c>
      <c r="I2252" t="s">
        <v>80</v>
      </c>
      <c r="J2252" t="s">
        <v>91</v>
      </c>
      <c r="K2252" t="s">
        <v>78</v>
      </c>
      <c r="L2252" t="s">
        <v>79</v>
      </c>
      <c r="M2252" t="s">
        <v>80</v>
      </c>
      <c r="N2252" t="s">
        <v>357</v>
      </c>
      <c r="O2252" t="s">
        <v>82</v>
      </c>
      <c r="P2252" t="str">
        <f>"4170065028                    "</f>
        <v xml:space="preserve">4170065028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17.46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1.1000000000000001</v>
      </c>
      <c r="BK2252">
        <v>2</v>
      </c>
      <c r="BL2252">
        <v>55.42</v>
      </c>
      <c r="BM2252">
        <v>8.31</v>
      </c>
      <c r="BN2252">
        <v>63.73</v>
      </c>
      <c r="BO2252">
        <v>63.73</v>
      </c>
      <c r="BQ2252" t="s">
        <v>358</v>
      </c>
      <c r="BR2252" t="s">
        <v>97</v>
      </c>
      <c r="BS2252" s="3">
        <v>45952</v>
      </c>
      <c r="BT2252" s="4">
        <v>0.4375</v>
      </c>
      <c r="BU2252" t="s">
        <v>1254</v>
      </c>
      <c r="BV2252" t="s">
        <v>86</v>
      </c>
      <c r="BY2252">
        <v>5510</v>
      </c>
      <c r="CC2252" t="s">
        <v>80</v>
      </c>
      <c r="CD2252">
        <v>1645</v>
      </c>
      <c r="CE2252" t="s">
        <v>191</v>
      </c>
      <c r="CF2252" s="3">
        <v>45953</v>
      </c>
      <c r="CI2252">
        <v>1</v>
      </c>
      <c r="CJ2252">
        <v>1</v>
      </c>
      <c r="CK2252">
        <v>22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"080068645285"</f>
        <v>080068645285</v>
      </c>
      <c r="F2253" s="3">
        <v>45951</v>
      </c>
      <c r="G2253">
        <v>202607</v>
      </c>
      <c r="H2253" t="s">
        <v>79</v>
      </c>
      <c r="I2253" t="s">
        <v>80</v>
      </c>
      <c r="J2253" t="s">
        <v>91</v>
      </c>
      <c r="K2253" t="s">
        <v>78</v>
      </c>
      <c r="L2253" t="s">
        <v>148</v>
      </c>
      <c r="M2253" t="s">
        <v>149</v>
      </c>
      <c r="N2253" t="s">
        <v>2427</v>
      </c>
      <c r="O2253" t="s">
        <v>82</v>
      </c>
      <c r="P2253" t="str">
        <f>"4170065191                    "</f>
        <v xml:space="preserve">4170065191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17.46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55.42</v>
      </c>
      <c r="BM2253">
        <v>8.31</v>
      </c>
      <c r="BN2253">
        <v>63.73</v>
      </c>
      <c r="BO2253">
        <v>63.73</v>
      </c>
      <c r="BQ2253" t="s">
        <v>2428</v>
      </c>
      <c r="BR2253" t="s">
        <v>97</v>
      </c>
      <c r="BS2253" s="3">
        <v>45952</v>
      </c>
      <c r="BT2253" s="4">
        <v>0.33680555555555558</v>
      </c>
      <c r="BU2253" t="s">
        <v>2758</v>
      </c>
      <c r="BV2253" t="s">
        <v>86</v>
      </c>
      <c r="BY2253">
        <v>1200</v>
      </c>
      <c r="CA2253" t="s">
        <v>1463</v>
      </c>
      <c r="CC2253" t="s">
        <v>149</v>
      </c>
      <c r="CD2253">
        <v>2190</v>
      </c>
      <c r="CE2253" t="s">
        <v>147</v>
      </c>
      <c r="CF2253" s="3">
        <v>45952</v>
      </c>
      <c r="CI2253">
        <v>1</v>
      </c>
      <c r="CJ2253">
        <v>1</v>
      </c>
      <c r="CK2253">
        <v>22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"080068645309"</f>
        <v>080068645309</v>
      </c>
      <c r="F2254" s="3">
        <v>45951</v>
      </c>
      <c r="G2254">
        <v>202607</v>
      </c>
      <c r="H2254" t="s">
        <v>79</v>
      </c>
      <c r="I2254" t="s">
        <v>80</v>
      </c>
      <c r="J2254" t="s">
        <v>91</v>
      </c>
      <c r="K2254" t="s">
        <v>78</v>
      </c>
      <c r="L2254" t="s">
        <v>884</v>
      </c>
      <c r="M2254" t="s">
        <v>885</v>
      </c>
      <c r="N2254" t="s">
        <v>886</v>
      </c>
      <c r="O2254" t="s">
        <v>82</v>
      </c>
      <c r="P2254" t="str">
        <f>"4170065185                    "</f>
        <v xml:space="preserve">4170065185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43.31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0.2</v>
      </c>
      <c r="BJ2254">
        <v>0.9</v>
      </c>
      <c r="BK2254">
        <v>1</v>
      </c>
      <c r="BL2254">
        <v>137.47</v>
      </c>
      <c r="BM2254">
        <v>20.62</v>
      </c>
      <c r="BN2254">
        <v>158.09</v>
      </c>
      <c r="BO2254">
        <v>158.09</v>
      </c>
      <c r="BQ2254" t="s">
        <v>887</v>
      </c>
      <c r="BR2254" t="s">
        <v>97</v>
      </c>
      <c r="BS2254" s="3">
        <v>45952</v>
      </c>
      <c r="BT2254" s="4">
        <v>0.30208333333333331</v>
      </c>
      <c r="BU2254" t="s">
        <v>888</v>
      </c>
      <c r="BV2254" t="s">
        <v>86</v>
      </c>
      <c r="BY2254">
        <v>4565.76</v>
      </c>
      <c r="CC2254" t="s">
        <v>885</v>
      </c>
      <c r="CD2254">
        <v>2740</v>
      </c>
      <c r="CE2254" t="s">
        <v>147</v>
      </c>
      <c r="CF2254" s="3">
        <v>45953</v>
      </c>
      <c r="CI2254">
        <v>1</v>
      </c>
      <c r="CJ2254">
        <v>1</v>
      </c>
      <c r="CK2254">
        <v>23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"080068645311"</f>
        <v>080068645311</v>
      </c>
      <c r="F2255" s="3">
        <v>45951</v>
      </c>
      <c r="G2255">
        <v>202607</v>
      </c>
      <c r="H2255" t="s">
        <v>79</v>
      </c>
      <c r="I2255" t="s">
        <v>80</v>
      </c>
      <c r="J2255" t="s">
        <v>91</v>
      </c>
      <c r="K2255" t="s">
        <v>78</v>
      </c>
      <c r="L2255" t="s">
        <v>1312</v>
      </c>
      <c r="M2255" t="s">
        <v>1313</v>
      </c>
      <c r="N2255" t="s">
        <v>1314</v>
      </c>
      <c r="O2255" t="s">
        <v>95</v>
      </c>
      <c r="P2255" t="str">
        <f>"4170065153                    "</f>
        <v xml:space="preserve">4170065153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53.98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20</v>
      </c>
      <c r="BJ2255">
        <v>16</v>
      </c>
      <c r="BK2255">
        <v>20</v>
      </c>
      <c r="BL2255">
        <v>177.19</v>
      </c>
      <c r="BM2255">
        <v>26.58</v>
      </c>
      <c r="BN2255">
        <v>203.77</v>
      </c>
      <c r="BO2255">
        <v>203.77</v>
      </c>
      <c r="BQ2255" t="s">
        <v>1315</v>
      </c>
      <c r="BR2255" t="s">
        <v>97</v>
      </c>
      <c r="BS2255" s="3">
        <v>45952</v>
      </c>
      <c r="BT2255" s="4">
        <v>0.35</v>
      </c>
      <c r="BU2255" t="s">
        <v>2187</v>
      </c>
      <c r="BV2255" t="s">
        <v>86</v>
      </c>
      <c r="BY2255">
        <v>80000</v>
      </c>
      <c r="CA2255" t="s">
        <v>1318</v>
      </c>
      <c r="CC2255" t="s">
        <v>1313</v>
      </c>
      <c r="CD2255">
        <v>2410</v>
      </c>
      <c r="CE2255" t="s">
        <v>107</v>
      </c>
      <c r="CF2255" s="3">
        <v>45953</v>
      </c>
      <c r="CI2255">
        <v>1</v>
      </c>
      <c r="CJ2255">
        <v>1</v>
      </c>
      <c r="CK2255">
        <v>44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"080068645324"</f>
        <v>080068645324</v>
      </c>
      <c r="F2256" s="3">
        <v>45951</v>
      </c>
      <c r="G2256">
        <v>202607</v>
      </c>
      <c r="H2256" t="s">
        <v>79</v>
      </c>
      <c r="I2256" t="s">
        <v>80</v>
      </c>
      <c r="J2256" t="s">
        <v>91</v>
      </c>
      <c r="K2256" t="s">
        <v>78</v>
      </c>
      <c r="L2256" t="s">
        <v>884</v>
      </c>
      <c r="M2256" t="s">
        <v>885</v>
      </c>
      <c r="N2256" t="s">
        <v>886</v>
      </c>
      <c r="O2256" t="s">
        <v>82</v>
      </c>
      <c r="P2256" t="str">
        <f>"4170065200                    "</f>
        <v xml:space="preserve">4170065200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101.99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0.6</v>
      </c>
      <c r="BJ2256">
        <v>5</v>
      </c>
      <c r="BK2256">
        <v>5</v>
      </c>
      <c r="BL2256">
        <v>323.70999999999998</v>
      </c>
      <c r="BM2256">
        <v>48.56</v>
      </c>
      <c r="BN2256">
        <v>372.27</v>
      </c>
      <c r="BO2256">
        <v>372.27</v>
      </c>
      <c r="BQ2256" t="s">
        <v>887</v>
      </c>
      <c r="BR2256" t="s">
        <v>97</v>
      </c>
      <c r="BS2256" s="3">
        <v>45952</v>
      </c>
      <c r="BT2256" s="4">
        <v>0.34375</v>
      </c>
      <c r="BU2256" t="s">
        <v>888</v>
      </c>
      <c r="BV2256" t="s">
        <v>86</v>
      </c>
      <c r="BY2256">
        <v>25107.06</v>
      </c>
      <c r="CC2256" t="s">
        <v>885</v>
      </c>
      <c r="CD2256">
        <v>2740</v>
      </c>
      <c r="CE2256" t="s">
        <v>147</v>
      </c>
      <c r="CF2256" s="3">
        <v>45953</v>
      </c>
      <c r="CI2256">
        <v>1</v>
      </c>
      <c r="CJ2256">
        <v>1</v>
      </c>
      <c r="CK2256">
        <v>23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"080068645334"</f>
        <v>080068645334</v>
      </c>
      <c r="F2257" s="3">
        <v>45951</v>
      </c>
      <c r="G2257">
        <v>202607</v>
      </c>
      <c r="H2257" t="s">
        <v>79</v>
      </c>
      <c r="I2257" t="s">
        <v>80</v>
      </c>
      <c r="J2257" t="s">
        <v>91</v>
      </c>
      <c r="K2257" t="s">
        <v>78</v>
      </c>
      <c r="L2257" t="s">
        <v>108</v>
      </c>
      <c r="M2257" t="s">
        <v>109</v>
      </c>
      <c r="N2257" t="s">
        <v>2869</v>
      </c>
      <c r="O2257" t="s">
        <v>82</v>
      </c>
      <c r="P2257" t="str">
        <f>"4170064933                    "</f>
        <v xml:space="preserve">4170064933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22.36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0.7</v>
      </c>
      <c r="BK2257">
        <v>1</v>
      </c>
      <c r="BL2257">
        <v>70.959999999999994</v>
      </c>
      <c r="BM2257">
        <v>10.64</v>
      </c>
      <c r="BN2257">
        <v>81.599999999999994</v>
      </c>
      <c r="BO2257">
        <v>81.599999999999994</v>
      </c>
      <c r="BQ2257" t="s">
        <v>2870</v>
      </c>
      <c r="BR2257" t="s">
        <v>97</v>
      </c>
      <c r="BS2257" s="3">
        <v>45952</v>
      </c>
      <c r="BT2257" s="4">
        <v>0.42708333333333331</v>
      </c>
      <c r="BU2257" t="s">
        <v>2871</v>
      </c>
      <c r="BV2257" t="s">
        <v>86</v>
      </c>
      <c r="BY2257">
        <v>3306</v>
      </c>
      <c r="CA2257" t="s">
        <v>2872</v>
      </c>
      <c r="CC2257" t="s">
        <v>109</v>
      </c>
      <c r="CD2257">
        <v>6001</v>
      </c>
      <c r="CE2257" t="s">
        <v>191</v>
      </c>
      <c r="CF2257" s="3">
        <v>45952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"080068645360"</f>
        <v>080068645360</v>
      </c>
      <c r="F2258" s="3">
        <v>45951</v>
      </c>
      <c r="G2258">
        <v>202607</v>
      </c>
      <c r="H2258" t="s">
        <v>79</v>
      </c>
      <c r="I2258" t="s">
        <v>80</v>
      </c>
      <c r="J2258" t="s">
        <v>91</v>
      </c>
      <c r="K2258" t="s">
        <v>78</v>
      </c>
      <c r="L2258" t="s">
        <v>246</v>
      </c>
      <c r="M2258" t="s">
        <v>247</v>
      </c>
      <c r="N2258" t="s">
        <v>248</v>
      </c>
      <c r="O2258" t="s">
        <v>82</v>
      </c>
      <c r="P2258" t="str">
        <f>"4170065167                    "</f>
        <v xml:space="preserve">4170065167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43.31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16.739999999999998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154.21</v>
      </c>
      <c r="BM2258">
        <v>23.13</v>
      </c>
      <c r="BN2258">
        <v>177.34</v>
      </c>
      <c r="BO2258">
        <v>177.34</v>
      </c>
      <c r="BQ2258" t="s">
        <v>249</v>
      </c>
      <c r="BR2258" t="s">
        <v>97</v>
      </c>
      <c r="BS2258" s="3">
        <v>45952</v>
      </c>
      <c r="BT2258" s="4">
        <v>0.51180555555555551</v>
      </c>
      <c r="BU2258" t="s">
        <v>2873</v>
      </c>
      <c r="BV2258" t="s">
        <v>86</v>
      </c>
      <c r="BY2258">
        <v>1200</v>
      </c>
      <c r="BZ2258" t="s">
        <v>30</v>
      </c>
      <c r="CA2258" t="s">
        <v>146</v>
      </c>
      <c r="CC2258" t="s">
        <v>247</v>
      </c>
      <c r="CD2258" s="5" t="s">
        <v>252</v>
      </c>
      <c r="CE2258" t="s">
        <v>147</v>
      </c>
      <c r="CF2258" s="3">
        <v>45953</v>
      </c>
      <c r="CI2258">
        <v>1</v>
      </c>
      <c r="CJ2258">
        <v>1</v>
      </c>
      <c r="CK2258">
        <v>23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"080068645370"</f>
        <v>080068645370</v>
      </c>
      <c r="F2259" s="3">
        <v>45951</v>
      </c>
      <c r="G2259">
        <v>202607</v>
      </c>
      <c r="H2259" t="s">
        <v>79</v>
      </c>
      <c r="I2259" t="s">
        <v>80</v>
      </c>
      <c r="J2259" t="s">
        <v>91</v>
      </c>
      <c r="K2259" t="s">
        <v>78</v>
      </c>
      <c r="L2259" t="s">
        <v>453</v>
      </c>
      <c r="M2259" t="s">
        <v>454</v>
      </c>
      <c r="N2259" t="s">
        <v>665</v>
      </c>
      <c r="O2259" t="s">
        <v>82</v>
      </c>
      <c r="P2259" t="str">
        <f>"4170065214                    "</f>
        <v xml:space="preserve">4170065214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22.36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70.959999999999994</v>
      </c>
      <c r="BM2259">
        <v>10.64</v>
      </c>
      <c r="BN2259">
        <v>81.599999999999994</v>
      </c>
      <c r="BO2259">
        <v>81.599999999999994</v>
      </c>
      <c r="BQ2259" t="s">
        <v>666</v>
      </c>
      <c r="BR2259" t="s">
        <v>97</v>
      </c>
      <c r="BS2259" s="3">
        <v>45952</v>
      </c>
      <c r="BT2259" s="4">
        <v>0.47638888888888886</v>
      </c>
      <c r="BU2259" t="s">
        <v>2854</v>
      </c>
      <c r="BV2259" t="s">
        <v>86</v>
      </c>
      <c r="BY2259">
        <v>1200</v>
      </c>
      <c r="CA2259" t="s">
        <v>742</v>
      </c>
      <c r="CC2259" t="s">
        <v>454</v>
      </c>
      <c r="CD2259">
        <v>3610</v>
      </c>
      <c r="CE2259" t="s">
        <v>147</v>
      </c>
      <c r="CF2259" s="3">
        <v>45952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"080068645389"</f>
        <v>080068645389</v>
      </c>
      <c r="F2260" s="3">
        <v>45951</v>
      </c>
      <c r="G2260">
        <v>202607</v>
      </c>
      <c r="H2260" t="s">
        <v>79</v>
      </c>
      <c r="I2260" t="s">
        <v>80</v>
      </c>
      <c r="J2260" t="s">
        <v>91</v>
      </c>
      <c r="K2260" t="s">
        <v>78</v>
      </c>
      <c r="L2260" t="s">
        <v>79</v>
      </c>
      <c r="M2260" t="s">
        <v>80</v>
      </c>
      <c r="N2260" t="s">
        <v>163</v>
      </c>
      <c r="O2260" t="s">
        <v>82</v>
      </c>
      <c r="P2260" t="str">
        <f>"4170064898                    "</f>
        <v xml:space="preserve">4170064898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17.46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55.42</v>
      </c>
      <c r="BM2260">
        <v>8.31</v>
      </c>
      <c r="BN2260">
        <v>63.73</v>
      </c>
      <c r="BO2260">
        <v>63.73</v>
      </c>
      <c r="BQ2260" t="s">
        <v>164</v>
      </c>
      <c r="BR2260" t="s">
        <v>97</v>
      </c>
      <c r="BS2260" s="3">
        <v>45952</v>
      </c>
      <c r="BT2260" s="4">
        <v>0.3611111111111111</v>
      </c>
      <c r="BU2260" t="s">
        <v>579</v>
      </c>
      <c r="BV2260" t="s">
        <v>86</v>
      </c>
      <c r="BY2260">
        <v>1200</v>
      </c>
      <c r="CA2260" t="s">
        <v>166</v>
      </c>
      <c r="CC2260" t="s">
        <v>80</v>
      </c>
      <c r="CD2260">
        <v>1600</v>
      </c>
      <c r="CE2260" t="s">
        <v>147</v>
      </c>
      <c r="CF2260" s="3">
        <v>45953</v>
      </c>
      <c r="CI2260">
        <v>1</v>
      </c>
      <c r="CJ2260">
        <v>1</v>
      </c>
      <c r="CK2260">
        <v>22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"080068645402"</f>
        <v>080068645402</v>
      </c>
      <c r="F2261" s="3">
        <v>45951</v>
      </c>
      <c r="G2261">
        <v>202607</v>
      </c>
      <c r="H2261" t="s">
        <v>79</v>
      </c>
      <c r="I2261" t="s">
        <v>80</v>
      </c>
      <c r="J2261" t="s">
        <v>91</v>
      </c>
      <c r="K2261" t="s">
        <v>78</v>
      </c>
      <c r="L2261" t="s">
        <v>108</v>
      </c>
      <c r="M2261" t="s">
        <v>109</v>
      </c>
      <c r="N2261" t="s">
        <v>1567</v>
      </c>
      <c r="O2261" t="s">
        <v>82</v>
      </c>
      <c r="P2261" t="str">
        <f>"4170065160                    "</f>
        <v xml:space="preserve">4170065160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22.36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70.959999999999994</v>
      </c>
      <c r="BM2261">
        <v>10.64</v>
      </c>
      <c r="BN2261">
        <v>81.599999999999994</v>
      </c>
      <c r="BO2261">
        <v>81.599999999999994</v>
      </c>
      <c r="BQ2261" t="s">
        <v>1568</v>
      </c>
      <c r="BR2261" t="s">
        <v>97</v>
      </c>
      <c r="BS2261" s="3">
        <v>45952</v>
      </c>
      <c r="BT2261" s="4">
        <v>0.38958333333333334</v>
      </c>
      <c r="BU2261" t="s">
        <v>2874</v>
      </c>
      <c r="BV2261" t="s">
        <v>86</v>
      </c>
      <c r="BY2261">
        <v>1200</v>
      </c>
      <c r="CA2261" t="s">
        <v>113</v>
      </c>
      <c r="CC2261" t="s">
        <v>109</v>
      </c>
      <c r="CD2261">
        <v>6000</v>
      </c>
      <c r="CE2261" t="s">
        <v>147</v>
      </c>
      <c r="CF2261" s="3">
        <v>45952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"080068645404"</f>
        <v>080068645404</v>
      </c>
      <c r="F2262" s="3">
        <v>45951</v>
      </c>
      <c r="G2262">
        <v>202607</v>
      </c>
      <c r="H2262" t="s">
        <v>79</v>
      </c>
      <c r="I2262" t="s">
        <v>80</v>
      </c>
      <c r="J2262" t="s">
        <v>91</v>
      </c>
      <c r="K2262" t="s">
        <v>78</v>
      </c>
      <c r="L2262" t="s">
        <v>333</v>
      </c>
      <c r="M2262" t="s">
        <v>334</v>
      </c>
      <c r="N2262" t="s">
        <v>794</v>
      </c>
      <c r="O2262" t="s">
        <v>82</v>
      </c>
      <c r="P2262" t="str">
        <f>"4170065158                    "</f>
        <v xml:space="preserve">4170065158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22.36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70.959999999999994</v>
      </c>
      <c r="BM2262">
        <v>10.64</v>
      </c>
      <c r="BN2262">
        <v>81.599999999999994</v>
      </c>
      <c r="BO2262">
        <v>81.599999999999994</v>
      </c>
      <c r="BQ2262" t="s">
        <v>795</v>
      </c>
      <c r="BR2262" t="s">
        <v>97</v>
      </c>
      <c r="BS2262" s="3">
        <v>45952</v>
      </c>
      <c r="BT2262" s="4">
        <v>0.42777777777777776</v>
      </c>
      <c r="BU2262" t="s">
        <v>796</v>
      </c>
      <c r="BV2262" t="s">
        <v>86</v>
      </c>
      <c r="BY2262">
        <v>1200</v>
      </c>
      <c r="CA2262" t="s">
        <v>142</v>
      </c>
      <c r="CC2262" t="s">
        <v>334</v>
      </c>
      <c r="CD2262">
        <v>6220</v>
      </c>
      <c r="CE2262" t="s">
        <v>147</v>
      </c>
      <c r="CF2262" s="3">
        <v>45952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"080068645417"</f>
        <v>080068645417</v>
      </c>
      <c r="F2263" s="3">
        <v>45951</v>
      </c>
      <c r="G2263">
        <v>202607</v>
      </c>
      <c r="H2263" t="s">
        <v>79</v>
      </c>
      <c r="I2263" t="s">
        <v>80</v>
      </c>
      <c r="J2263" t="s">
        <v>91</v>
      </c>
      <c r="K2263" t="s">
        <v>78</v>
      </c>
      <c r="L2263" t="s">
        <v>108</v>
      </c>
      <c r="M2263" t="s">
        <v>109</v>
      </c>
      <c r="N2263" t="s">
        <v>2869</v>
      </c>
      <c r="O2263" t="s">
        <v>82</v>
      </c>
      <c r="P2263" t="str">
        <f>"4170065221                    "</f>
        <v xml:space="preserve">4170065221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22.36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70.959999999999994</v>
      </c>
      <c r="BM2263">
        <v>10.64</v>
      </c>
      <c r="BN2263">
        <v>81.599999999999994</v>
      </c>
      <c r="BO2263">
        <v>81.599999999999994</v>
      </c>
      <c r="BQ2263" t="s">
        <v>2870</v>
      </c>
      <c r="BR2263" t="s">
        <v>97</v>
      </c>
      <c r="BS2263" s="3">
        <v>45952</v>
      </c>
      <c r="BT2263" s="4">
        <v>0.42708333333333331</v>
      </c>
      <c r="BU2263" t="s">
        <v>2871</v>
      </c>
      <c r="BV2263" t="s">
        <v>86</v>
      </c>
      <c r="BY2263">
        <v>1200</v>
      </c>
      <c r="CA2263" t="s">
        <v>2872</v>
      </c>
      <c r="CC2263" t="s">
        <v>109</v>
      </c>
      <c r="CD2263">
        <v>6001</v>
      </c>
      <c r="CE2263" t="s">
        <v>147</v>
      </c>
      <c r="CF2263" s="3">
        <v>45952</v>
      </c>
      <c r="CI2263">
        <v>1</v>
      </c>
      <c r="CJ2263">
        <v>1</v>
      </c>
      <c r="CK2263">
        <v>21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"080068645421"</f>
        <v>080068645421</v>
      </c>
      <c r="F2264" s="3">
        <v>45951</v>
      </c>
      <c r="G2264">
        <v>202607</v>
      </c>
      <c r="H2264" t="s">
        <v>79</v>
      </c>
      <c r="I2264" t="s">
        <v>80</v>
      </c>
      <c r="J2264" t="s">
        <v>91</v>
      </c>
      <c r="K2264" t="s">
        <v>78</v>
      </c>
      <c r="L2264" t="s">
        <v>79</v>
      </c>
      <c r="M2264" t="s">
        <v>80</v>
      </c>
      <c r="N2264" t="s">
        <v>830</v>
      </c>
      <c r="O2264" t="s">
        <v>82</v>
      </c>
      <c r="P2264" t="str">
        <f>"4170064919                    "</f>
        <v xml:space="preserve">4170064919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17.46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55.42</v>
      </c>
      <c r="BM2264">
        <v>8.31</v>
      </c>
      <c r="BN2264">
        <v>63.73</v>
      </c>
      <c r="BO2264">
        <v>63.73</v>
      </c>
      <c r="BQ2264" t="s">
        <v>831</v>
      </c>
      <c r="BR2264" t="s">
        <v>97</v>
      </c>
      <c r="BS2264" s="3">
        <v>45952</v>
      </c>
      <c r="BT2264" s="4">
        <v>0.39583333333333331</v>
      </c>
      <c r="BU2264" t="s">
        <v>832</v>
      </c>
      <c r="BV2264" t="s">
        <v>86</v>
      </c>
      <c r="BY2264">
        <v>1200</v>
      </c>
      <c r="CA2264" t="s">
        <v>88</v>
      </c>
      <c r="CC2264" t="s">
        <v>80</v>
      </c>
      <c r="CD2264">
        <v>1619</v>
      </c>
      <c r="CE2264" t="s">
        <v>147</v>
      </c>
      <c r="CF2264" s="3">
        <v>45952</v>
      </c>
      <c r="CI2264">
        <v>1</v>
      </c>
      <c r="CJ2264">
        <v>1</v>
      </c>
      <c r="CK2264">
        <v>22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"080068645436"</f>
        <v>080068645436</v>
      </c>
      <c r="F2265" s="3">
        <v>45951</v>
      </c>
      <c r="G2265">
        <v>202607</v>
      </c>
      <c r="H2265" t="s">
        <v>79</v>
      </c>
      <c r="I2265" t="s">
        <v>80</v>
      </c>
      <c r="J2265" t="s">
        <v>91</v>
      </c>
      <c r="K2265" t="s">
        <v>78</v>
      </c>
      <c r="L2265" t="s">
        <v>206</v>
      </c>
      <c r="M2265" t="s">
        <v>207</v>
      </c>
      <c r="N2265" t="s">
        <v>427</v>
      </c>
      <c r="O2265" t="s">
        <v>82</v>
      </c>
      <c r="P2265" t="str">
        <f>"4170065195                    "</f>
        <v xml:space="preserve">4170065195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39.11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3.2</v>
      </c>
      <c r="BJ2265">
        <v>3.3</v>
      </c>
      <c r="BK2265">
        <v>3.5</v>
      </c>
      <c r="BL2265">
        <v>124.13</v>
      </c>
      <c r="BM2265">
        <v>18.62</v>
      </c>
      <c r="BN2265">
        <v>142.75</v>
      </c>
      <c r="BO2265">
        <v>142.75</v>
      </c>
      <c r="BQ2265" t="s">
        <v>428</v>
      </c>
      <c r="BR2265" t="s">
        <v>97</v>
      </c>
      <c r="BS2265" s="3">
        <v>45952</v>
      </c>
      <c r="BT2265" s="4">
        <v>0.37847222222222221</v>
      </c>
      <c r="BU2265" t="s">
        <v>1261</v>
      </c>
      <c r="BV2265" t="s">
        <v>86</v>
      </c>
      <c r="BY2265">
        <v>16389.12</v>
      </c>
      <c r="BZ2265" t="s">
        <v>87</v>
      </c>
      <c r="CA2265" t="s">
        <v>423</v>
      </c>
      <c r="CC2265" t="s">
        <v>207</v>
      </c>
      <c r="CD2265">
        <v>7530</v>
      </c>
      <c r="CE2265" t="s">
        <v>107</v>
      </c>
      <c r="CF2265" s="3">
        <v>45954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"080068645438"</f>
        <v>080068645438</v>
      </c>
      <c r="F2266" s="3">
        <v>45951</v>
      </c>
      <c r="G2266">
        <v>202607</v>
      </c>
      <c r="H2266" t="s">
        <v>79</v>
      </c>
      <c r="I2266" t="s">
        <v>80</v>
      </c>
      <c r="J2266" t="s">
        <v>91</v>
      </c>
      <c r="K2266" t="s">
        <v>78</v>
      </c>
      <c r="L2266" t="s">
        <v>300</v>
      </c>
      <c r="M2266" t="s">
        <v>301</v>
      </c>
      <c r="N2266" t="s">
        <v>493</v>
      </c>
      <c r="O2266" t="s">
        <v>82</v>
      </c>
      <c r="P2266" t="str">
        <f>"4170065114                    "</f>
        <v xml:space="preserve">4170065114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31.44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99.79</v>
      </c>
      <c r="BM2266">
        <v>14.97</v>
      </c>
      <c r="BN2266">
        <v>114.76</v>
      </c>
      <c r="BO2266">
        <v>114.76</v>
      </c>
      <c r="BQ2266" t="s">
        <v>494</v>
      </c>
      <c r="BR2266" t="s">
        <v>97</v>
      </c>
      <c r="BS2266" s="3">
        <v>45952</v>
      </c>
      <c r="BT2266" s="4">
        <v>0.43263888888888891</v>
      </c>
      <c r="BU2266" t="s">
        <v>495</v>
      </c>
      <c r="BV2266" t="s">
        <v>86</v>
      </c>
      <c r="BY2266">
        <v>1200</v>
      </c>
      <c r="CA2266" t="s">
        <v>496</v>
      </c>
      <c r="CC2266" t="s">
        <v>301</v>
      </c>
      <c r="CD2266">
        <v>1739</v>
      </c>
      <c r="CE2266" t="s">
        <v>147</v>
      </c>
      <c r="CF2266" s="3">
        <v>45953</v>
      </c>
      <c r="CI2266">
        <v>1</v>
      </c>
      <c r="CJ2266">
        <v>1</v>
      </c>
      <c r="CK2266">
        <v>24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"080068645459"</f>
        <v>080068645459</v>
      </c>
      <c r="F2267" s="3">
        <v>45951</v>
      </c>
      <c r="G2267">
        <v>202607</v>
      </c>
      <c r="H2267" t="s">
        <v>79</v>
      </c>
      <c r="I2267" t="s">
        <v>80</v>
      </c>
      <c r="J2267" t="s">
        <v>91</v>
      </c>
      <c r="K2267" t="s">
        <v>78</v>
      </c>
      <c r="L2267" t="s">
        <v>121</v>
      </c>
      <c r="M2267" t="s">
        <v>122</v>
      </c>
      <c r="N2267" t="s">
        <v>574</v>
      </c>
      <c r="O2267" t="s">
        <v>82</v>
      </c>
      <c r="P2267" t="str">
        <f>"4170064857                    "</f>
        <v xml:space="preserve">4170064857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22.36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70.959999999999994</v>
      </c>
      <c r="BM2267">
        <v>10.64</v>
      </c>
      <c r="BN2267">
        <v>81.599999999999994</v>
      </c>
      <c r="BO2267">
        <v>81.599999999999994</v>
      </c>
      <c r="BQ2267" t="s">
        <v>575</v>
      </c>
      <c r="BR2267" t="s">
        <v>97</v>
      </c>
      <c r="BS2267" s="3">
        <v>45952</v>
      </c>
      <c r="BT2267" s="4">
        <v>0.5</v>
      </c>
      <c r="BU2267" t="s">
        <v>2875</v>
      </c>
      <c r="BV2267" t="s">
        <v>90</v>
      </c>
      <c r="BW2267" t="s">
        <v>136</v>
      </c>
      <c r="BX2267" t="s">
        <v>858</v>
      </c>
      <c r="BY2267">
        <v>1200</v>
      </c>
      <c r="CA2267" t="s">
        <v>331</v>
      </c>
      <c r="CC2267" t="s">
        <v>122</v>
      </c>
      <c r="CD2267">
        <v>4094</v>
      </c>
      <c r="CE2267" t="s">
        <v>147</v>
      </c>
      <c r="CF2267" s="3">
        <v>45952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"080068645460"</f>
        <v>080068645460</v>
      </c>
      <c r="F2268" s="3">
        <v>45951</v>
      </c>
      <c r="G2268">
        <v>202607</v>
      </c>
      <c r="H2268" t="s">
        <v>79</v>
      </c>
      <c r="I2268" t="s">
        <v>80</v>
      </c>
      <c r="J2268" t="s">
        <v>91</v>
      </c>
      <c r="K2268" t="s">
        <v>78</v>
      </c>
      <c r="L2268" t="s">
        <v>168</v>
      </c>
      <c r="M2268" t="s">
        <v>169</v>
      </c>
      <c r="N2268" t="s">
        <v>2876</v>
      </c>
      <c r="O2268" t="s">
        <v>82</v>
      </c>
      <c r="P2268" t="str">
        <f>"4170065145                    "</f>
        <v xml:space="preserve">4170065145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22.36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70.959999999999994</v>
      </c>
      <c r="BM2268">
        <v>10.64</v>
      </c>
      <c r="BN2268">
        <v>81.599999999999994</v>
      </c>
      <c r="BO2268">
        <v>81.599999999999994</v>
      </c>
      <c r="BQ2268" t="s">
        <v>2877</v>
      </c>
      <c r="BR2268" t="s">
        <v>97</v>
      </c>
      <c r="BS2268" s="3">
        <v>45952</v>
      </c>
      <c r="BT2268" s="4">
        <v>0.41666666666666669</v>
      </c>
      <c r="BU2268" t="s">
        <v>2878</v>
      </c>
      <c r="BV2268" t="s">
        <v>86</v>
      </c>
      <c r="BY2268">
        <v>1200</v>
      </c>
      <c r="CA2268">
        <v>8303236124087</v>
      </c>
      <c r="CC2268" t="s">
        <v>169</v>
      </c>
      <c r="CD2268" s="5" t="s">
        <v>190</v>
      </c>
      <c r="CE2268" t="s">
        <v>147</v>
      </c>
      <c r="CF2268" s="3">
        <v>45952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"080068645474"</f>
        <v>080068645474</v>
      </c>
      <c r="F2269" s="3">
        <v>45951</v>
      </c>
      <c r="G2269">
        <v>202607</v>
      </c>
      <c r="H2269" t="s">
        <v>79</v>
      </c>
      <c r="I2269" t="s">
        <v>80</v>
      </c>
      <c r="J2269" t="s">
        <v>91</v>
      </c>
      <c r="K2269" t="s">
        <v>78</v>
      </c>
      <c r="L2269" t="s">
        <v>121</v>
      </c>
      <c r="M2269" t="s">
        <v>122</v>
      </c>
      <c r="N2269" t="s">
        <v>123</v>
      </c>
      <c r="O2269" t="s">
        <v>82</v>
      </c>
      <c r="P2269" t="str">
        <f>"4170065178                    "</f>
        <v xml:space="preserve">4170065178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22.36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70.959999999999994</v>
      </c>
      <c r="BM2269">
        <v>10.64</v>
      </c>
      <c r="BN2269">
        <v>81.599999999999994</v>
      </c>
      <c r="BO2269">
        <v>81.599999999999994</v>
      </c>
      <c r="BQ2269" t="s">
        <v>124</v>
      </c>
      <c r="BR2269" t="s">
        <v>97</v>
      </c>
      <c r="BS2269" s="3">
        <v>45952</v>
      </c>
      <c r="BT2269" s="4">
        <v>0.35486111111111113</v>
      </c>
      <c r="BU2269" t="s">
        <v>1611</v>
      </c>
      <c r="BV2269" t="s">
        <v>86</v>
      </c>
      <c r="BY2269">
        <v>1200</v>
      </c>
      <c r="CA2269" t="s">
        <v>126</v>
      </c>
      <c r="CC2269" t="s">
        <v>122</v>
      </c>
      <c r="CD2269">
        <v>4000</v>
      </c>
      <c r="CE2269" t="s">
        <v>147</v>
      </c>
      <c r="CF2269" s="3">
        <v>45952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"080068645477"</f>
        <v>080068645477</v>
      </c>
      <c r="F2270" s="3">
        <v>45951</v>
      </c>
      <c r="G2270">
        <v>202607</v>
      </c>
      <c r="H2270" t="s">
        <v>79</v>
      </c>
      <c r="I2270" t="s">
        <v>80</v>
      </c>
      <c r="J2270" t="s">
        <v>91</v>
      </c>
      <c r="K2270" t="s">
        <v>78</v>
      </c>
      <c r="L2270" t="s">
        <v>233</v>
      </c>
      <c r="M2270" t="s">
        <v>234</v>
      </c>
      <c r="N2270" t="s">
        <v>908</v>
      </c>
      <c r="O2270" t="s">
        <v>95</v>
      </c>
      <c r="P2270" t="str">
        <f>"4170065166                    "</f>
        <v xml:space="preserve">4170065166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43.23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8</v>
      </c>
      <c r="BJ2270">
        <v>5.3</v>
      </c>
      <c r="BK2270">
        <v>8</v>
      </c>
      <c r="BL2270">
        <v>143.08000000000001</v>
      </c>
      <c r="BM2270">
        <v>21.46</v>
      </c>
      <c r="BN2270">
        <v>164.54</v>
      </c>
      <c r="BO2270">
        <v>164.54</v>
      </c>
      <c r="BQ2270" t="s">
        <v>909</v>
      </c>
      <c r="BR2270" t="s">
        <v>97</v>
      </c>
      <c r="BS2270" s="3">
        <v>45952</v>
      </c>
      <c r="BT2270" s="4">
        <v>0.36180555555555555</v>
      </c>
      <c r="BU2270" t="s">
        <v>2162</v>
      </c>
      <c r="BV2270" t="s">
        <v>86</v>
      </c>
      <c r="BY2270">
        <v>26264</v>
      </c>
      <c r="CA2270">
        <v>7712195338085</v>
      </c>
      <c r="CC2270" t="s">
        <v>234</v>
      </c>
      <c r="CD2270" s="5" t="s">
        <v>238</v>
      </c>
      <c r="CE2270" t="s">
        <v>107</v>
      </c>
      <c r="CF2270" s="3">
        <v>45952</v>
      </c>
      <c r="CI2270">
        <v>1</v>
      </c>
      <c r="CJ2270">
        <v>1</v>
      </c>
      <c r="CK2270">
        <v>41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"080068645488"</f>
        <v>080068645488</v>
      </c>
      <c r="F2271" s="3">
        <v>45951</v>
      </c>
      <c r="G2271">
        <v>202607</v>
      </c>
      <c r="H2271" t="s">
        <v>79</v>
      </c>
      <c r="I2271" t="s">
        <v>80</v>
      </c>
      <c r="J2271" t="s">
        <v>91</v>
      </c>
      <c r="K2271" t="s">
        <v>78</v>
      </c>
      <c r="L2271" t="s">
        <v>108</v>
      </c>
      <c r="M2271" t="s">
        <v>109</v>
      </c>
      <c r="N2271" t="s">
        <v>2879</v>
      </c>
      <c r="O2271" t="s">
        <v>82</v>
      </c>
      <c r="P2271" t="str">
        <f>"4170065174                    "</f>
        <v xml:space="preserve">4170065174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22.36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70.959999999999994</v>
      </c>
      <c r="BM2271">
        <v>10.64</v>
      </c>
      <c r="BN2271">
        <v>81.599999999999994</v>
      </c>
      <c r="BO2271">
        <v>81.599999999999994</v>
      </c>
      <c r="BQ2271" t="s">
        <v>2880</v>
      </c>
      <c r="BR2271" t="s">
        <v>97</v>
      </c>
      <c r="BS2271" s="3">
        <v>45952</v>
      </c>
      <c r="BT2271" s="4">
        <v>0.46597222222222223</v>
      </c>
      <c r="BU2271" t="s">
        <v>2881</v>
      </c>
      <c r="BV2271" t="s">
        <v>86</v>
      </c>
      <c r="BY2271">
        <v>1200</v>
      </c>
      <c r="CA2271" t="s">
        <v>2882</v>
      </c>
      <c r="CC2271" t="s">
        <v>109</v>
      </c>
      <c r="CD2271">
        <v>6100</v>
      </c>
      <c r="CE2271" t="s">
        <v>147</v>
      </c>
      <c r="CF2271" s="3">
        <v>45952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"080068645508"</f>
        <v>080068645508</v>
      </c>
      <c r="F2272" s="3">
        <v>45951</v>
      </c>
      <c r="G2272">
        <v>202607</v>
      </c>
      <c r="H2272" t="s">
        <v>79</v>
      </c>
      <c r="I2272" t="s">
        <v>80</v>
      </c>
      <c r="J2272" t="s">
        <v>91</v>
      </c>
      <c r="K2272" t="s">
        <v>78</v>
      </c>
      <c r="L2272" t="s">
        <v>265</v>
      </c>
      <c r="M2272" t="s">
        <v>266</v>
      </c>
      <c r="N2272" t="s">
        <v>536</v>
      </c>
      <c r="O2272" t="s">
        <v>82</v>
      </c>
      <c r="P2272" t="str">
        <f>"4170065192                    "</f>
        <v xml:space="preserve">4170065192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55.86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3</v>
      </c>
      <c r="BJ2272">
        <v>4.9000000000000004</v>
      </c>
      <c r="BK2272">
        <v>5</v>
      </c>
      <c r="BL2272">
        <v>177.3</v>
      </c>
      <c r="BM2272">
        <v>26.6</v>
      </c>
      <c r="BN2272">
        <v>203.9</v>
      </c>
      <c r="BO2272">
        <v>203.9</v>
      </c>
      <c r="BQ2272" t="s">
        <v>537</v>
      </c>
      <c r="BR2272" t="s">
        <v>97</v>
      </c>
      <c r="BS2272" s="3">
        <v>45952</v>
      </c>
      <c r="BT2272" s="4">
        <v>0.33402777777777776</v>
      </c>
      <c r="BU2272" t="s">
        <v>817</v>
      </c>
      <c r="BV2272" t="s">
        <v>86</v>
      </c>
      <c r="BY2272">
        <v>24570</v>
      </c>
      <c r="CA2272" t="s">
        <v>818</v>
      </c>
      <c r="CC2272" t="s">
        <v>266</v>
      </c>
      <c r="CD2272">
        <v>6230</v>
      </c>
      <c r="CE2272" t="s">
        <v>107</v>
      </c>
      <c r="CF2272" s="3">
        <v>45952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"080068645522"</f>
        <v>080068645522</v>
      </c>
      <c r="F2273" s="3">
        <v>45951</v>
      </c>
      <c r="G2273">
        <v>202607</v>
      </c>
      <c r="H2273" t="s">
        <v>79</v>
      </c>
      <c r="I2273" t="s">
        <v>80</v>
      </c>
      <c r="J2273" t="s">
        <v>91</v>
      </c>
      <c r="K2273" t="s">
        <v>78</v>
      </c>
      <c r="L2273" t="s">
        <v>108</v>
      </c>
      <c r="M2273" t="s">
        <v>109</v>
      </c>
      <c r="N2273" t="s">
        <v>229</v>
      </c>
      <c r="O2273" t="s">
        <v>82</v>
      </c>
      <c r="P2273" t="str">
        <f>"4170065137                    "</f>
        <v xml:space="preserve">4170065137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22.36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70.959999999999994</v>
      </c>
      <c r="BM2273">
        <v>10.64</v>
      </c>
      <c r="BN2273">
        <v>81.599999999999994</v>
      </c>
      <c r="BO2273">
        <v>81.599999999999994</v>
      </c>
      <c r="BQ2273" t="s">
        <v>230</v>
      </c>
      <c r="BR2273" t="s">
        <v>97</v>
      </c>
      <c r="BS2273" s="3">
        <v>45952</v>
      </c>
      <c r="BT2273" s="4">
        <v>0.4152777777777778</v>
      </c>
      <c r="BU2273" t="s">
        <v>2883</v>
      </c>
      <c r="BV2273" t="s">
        <v>86</v>
      </c>
      <c r="BY2273">
        <v>1200</v>
      </c>
      <c r="CA2273" t="s">
        <v>1145</v>
      </c>
      <c r="CC2273" t="s">
        <v>109</v>
      </c>
      <c r="CD2273">
        <v>6001</v>
      </c>
      <c r="CE2273" t="s">
        <v>147</v>
      </c>
      <c r="CF2273" s="3">
        <v>45952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"080068645536"</f>
        <v>080068645536</v>
      </c>
      <c r="F2274" s="3">
        <v>45951</v>
      </c>
      <c r="G2274">
        <v>202607</v>
      </c>
      <c r="H2274" t="s">
        <v>79</v>
      </c>
      <c r="I2274" t="s">
        <v>80</v>
      </c>
      <c r="J2274" t="s">
        <v>91</v>
      </c>
      <c r="K2274" t="s">
        <v>78</v>
      </c>
      <c r="L2274" t="s">
        <v>271</v>
      </c>
      <c r="M2274" t="s">
        <v>272</v>
      </c>
      <c r="N2274" t="s">
        <v>1489</v>
      </c>
      <c r="O2274" t="s">
        <v>82</v>
      </c>
      <c r="P2274" t="str">
        <f>"4170064839                    "</f>
        <v xml:space="preserve">4170064839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17.46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1.9</v>
      </c>
      <c r="BK2274">
        <v>2</v>
      </c>
      <c r="BL2274">
        <v>55.42</v>
      </c>
      <c r="BM2274">
        <v>8.31</v>
      </c>
      <c r="BN2274">
        <v>63.73</v>
      </c>
      <c r="BO2274">
        <v>63.73</v>
      </c>
      <c r="BQ2274" t="s">
        <v>1490</v>
      </c>
      <c r="BR2274" t="s">
        <v>97</v>
      </c>
      <c r="BS2274" s="3">
        <v>45952</v>
      </c>
      <c r="BT2274" s="4">
        <v>0.32708333333333334</v>
      </c>
      <c r="BU2274" t="s">
        <v>2884</v>
      </c>
      <c r="BV2274" t="s">
        <v>86</v>
      </c>
      <c r="BY2274">
        <v>9600</v>
      </c>
      <c r="CA2274" t="s">
        <v>1659</v>
      </c>
      <c r="CC2274" t="s">
        <v>272</v>
      </c>
      <c r="CD2274">
        <v>1406</v>
      </c>
      <c r="CE2274" t="s">
        <v>191</v>
      </c>
      <c r="CF2274" s="3">
        <v>45953</v>
      </c>
      <c r="CI2274">
        <v>1</v>
      </c>
      <c r="CJ2274">
        <v>1</v>
      </c>
      <c r="CK2274">
        <v>22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"080068645540"</f>
        <v>080068645540</v>
      </c>
      <c r="F2275" s="3">
        <v>45951</v>
      </c>
      <c r="G2275">
        <v>202607</v>
      </c>
      <c r="H2275" t="s">
        <v>79</v>
      </c>
      <c r="I2275" t="s">
        <v>80</v>
      </c>
      <c r="J2275" t="s">
        <v>91</v>
      </c>
      <c r="K2275" t="s">
        <v>78</v>
      </c>
      <c r="L2275" t="s">
        <v>114</v>
      </c>
      <c r="M2275" t="s">
        <v>115</v>
      </c>
      <c r="N2275" t="s">
        <v>746</v>
      </c>
      <c r="O2275" t="s">
        <v>82</v>
      </c>
      <c r="P2275" t="str">
        <f>"4170065194                    "</f>
        <v xml:space="preserve">4170065194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22.36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70.959999999999994</v>
      </c>
      <c r="BM2275">
        <v>10.64</v>
      </c>
      <c r="BN2275">
        <v>81.599999999999994</v>
      </c>
      <c r="BO2275">
        <v>81.599999999999994</v>
      </c>
      <c r="BQ2275" t="s">
        <v>747</v>
      </c>
      <c r="BR2275" t="s">
        <v>97</v>
      </c>
      <c r="BS2275" s="3">
        <v>45952</v>
      </c>
      <c r="BT2275" s="4">
        <v>0.51041666666666663</v>
      </c>
      <c r="BU2275" t="s">
        <v>2770</v>
      </c>
      <c r="BV2275" t="s">
        <v>90</v>
      </c>
      <c r="BY2275">
        <v>1200</v>
      </c>
      <c r="CA2275" t="s">
        <v>749</v>
      </c>
      <c r="CC2275" t="s">
        <v>115</v>
      </c>
      <c r="CD2275">
        <v>5200</v>
      </c>
      <c r="CE2275" t="s">
        <v>147</v>
      </c>
      <c r="CF2275" s="3">
        <v>45953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"080068645557"</f>
        <v>080068645557</v>
      </c>
      <c r="F2276" s="3">
        <v>45951</v>
      </c>
      <c r="G2276">
        <v>202607</v>
      </c>
      <c r="H2276" t="s">
        <v>79</v>
      </c>
      <c r="I2276" t="s">
        <v>80</v>
      </c>
      <c r="J2276" t="s">
        <v>91</v>
      </c>
      <c r="K2276" t="s">
        <v>78</v>
      </c>
      <c r="L2276" t="s">
        <v>108</v>
      </c>
      <c r="M2276" t="s">
        <v>109</v>
      </c>
      <c r="N2276" t="s">
        <v>312</v>
      </c>
      <c r="O2276" t="s">
        <v>82</v>
      </c>
      <c r="P2276" t="str">
        <f>"4170065211                    "</f>
        <v xml:space="preserve">4170065211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22.36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70.959999999999994</v>
      </c>
      <c r="BM2276">
        <v>10.64</v>
      </c>
      <c r="BN2276">
        <v>81.599999999999994</v>
      </c>
      <c r="BO2276">
        <v>81.599999999999994</v>
      </c>
      <c r="BQ2276" t="s">
        <v>313</v>
      </c>
      <c r="BR2276" t="s">
        <v>97</v>
      </c>
      <c r="BS2276" s="3">
        <v>45952</v>
      </c>
      <c r="BT2276" s="4">
        <v>0.39583333333333331</v>
      </c>
      <c r="BU2276" t="s">
        <v>2885</v>
      </c>
      <c r="BV2276" t="s">
        <v>86</v>
      </c>
      <c r="BY2276">
        <v>1200</v>
      </c>
      <c r="CA2276" t="s">
        <v>142</v>
      </c>
      <c r="CC2276" t="s">
        <v>109</v>
      </c>
      <c r="CD2276">
        <v>6001</v>
      </c>
      <c r="CE2276" t="s">
        <v>147</v>
      </c>
      <c r="CF2276" s="3">
        <v>45952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"080068645559"</f>
        <v>080068645559</v>
      </c>
      <c r="F2277" s="3">
        <v>45951</v>
      </c>
      <c r="G2277">
        <v>202607</v>
      </c>
      <c r="H2277" t="s">
        <v>79</v>
      </c>
      <c r="I2277" t="s">
        <v>80</v>
      </c>
      <c r="J2277" t="s">
        <v>91</v>
      </c>
      <c r="K2277" t="s">
        <v>78</v>
      </c>
      <c r="L2277" t="s">
        <v>223</v>
      </c>
      <c r="M2277" t="s">
        <v>224</v>
      </c>
      <c r="N2277" t="s">
        <v>1019</v>
      </c>
      <c r="O2277" t="s">
        <v>82</v>
      </c>
      <c r="P2277" t="str">
        <f>"4170064906                    "</f>
        <v xml:space="preserve">4170064906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17.46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2.9</v>
      </c>
      <c r="BJ2277">
        <v>1.8</v>
      </c>
      <c r="BK2277">
        <v>3</v>
      </c>
      <c r="BL2277">
        <v>55.42</v>
      </c>
      <c r="BM2277">
        <v>8.31</v>
      </c>
      <c r="BN2277">
        <v>63.73</v>
      </c>
      <c r="BO2277">
        <v>63.73</v>
      </c>
      <c r="BQ2277" t="s">
        <v>1020</v>
      </c>
      <c r="BR2277" t="s">
        <v>97</v>
      </c>
      <c r="BS2277" s="3">
        <v>45952</v>
      </c>
      <c r="BT2277" s="4">
        <v>0.37916666666666665</v>
      </c>
      <c r="BU2277" t="s">
        <v>1021</v>
      </c>
      <c r="BV2277" t="s">
        <v>86</v>
      </c>
      <c r="BY2277">
        <v>9021.39</v>
      </c>
      <c r="CA2277" t="s">
        <v>508</v>
      </c>
      <c r="CC2277" t="s">
        <v>224</v>
      </c>
      <c r="CD2277">
        <v>1459</v>
      </c>
      <c r="CE2277" t="s">
        <v>191</v>
      </c>
      <c r="CF2277" s="3">
        <v>45952</v>
      </c>
      <c r="CI2277">
        <v>1</v>
      </c>
      <c r="CJ2277">
        <v>1</v>
      </c>
      <c r="CK2277">
        <v>22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"080068645585"</f>
        <v>080068645585</v>
      </c>
      <c r="F2278" s="3">
        <v>45951</v>
      </c>
      <c r="G2278">
        <v>202607</v>
      </c>
      <c r="H2278" t="s">
        <v>79</v>
      </c>
      <c r="I2278" t="s">
        <v>80</v>
      </c>
      <c r="J2278" t="s">
        <v>91</v>
      </c>
      <c r="K2278" t="s">
        <v>78</v>
      </c>
      <c r="L2278" t="s">
        <v>148</v>
      </c>
      <c r="M2278" t="s">
        <v>149</v>
      </c>
      <c r="N2278" t="s">
        <v>465</v>
      </c>
      <c r="O2278" t="s">
        <v>82</v>
      </c>
      <c r="P2278" t="str">
        <f>"4170065042                    "</f>
        <v xml:space="preserve">4170065042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17.46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55.42</v>
      </c>
      <c r="BM2278">
        <v>8.31</v>
      </c>
      <c r="BN2278">
        <v>63.73</v>
      </c>
      <c r="BO2278">
        <v>63.73</v>
      </c>
      <c r="BQ2278" t="s">
        <v>466</v>
      </c>
      <c r="BR2278" t="s">
        <v>97</v>
      </c>
      <c r="BS2278" s="3">
        <v>45952</v>
      </c>
      <c r="BT2278" s="4">
        <v>0.40555555555555556</v>
      </c>
      <c r="BU2278" t="s">
        <v>1658</v>
      </c>
      <c r="BV2278" t="s">
        <v>86</v>
      </c>
      <c r="BY2278">
        <v>1200</v>
      </c>
      <c r="CA2278" t="s">
        <v>2853</v>
      </c>
      <c r="CC2278" t="s">
        <v>149</v>
      </c>
      <c r="CD2278">
        <v>2094</v>
      </c>
      <c r="CE2278" t="s">
        <v>147</v>
      </c>
      <c r="CF2278" s="3">
        <v>45953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"080068645593"</f>
        <v>080068645593</v>
      </c>
      <c r="F2279" s="3">
        <v>45951</v>
      </c>
      <c r="G2279">
        <v>202607</v>
      </c>
      <c r="H2279" t="s">
        <v>79</v>
      </c>
      <c r="I2279" t="s">
        <v>80</v>
      </c>
      <c r="J2279" t="s">
        <v>91</v>
      </c>
      <c r="K2279" t="s">
        <v>78</v>
      </c>
      <c r="L2279" t="s">
        <v>108</v>
      </c>
      <c r="M2279" t="s">
        <v>109</v>
      </c>
      <c r="N2279" t="s">
        <v>365</v>
      </c>
      <c r="O2279" t="s">
        <v>82</v>
      </c>
      <c r="P2279" t="str">
        <f>"4170065188                    "</f>
        <v xml:space="preserve">4170065188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50.28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4.5</v>
      </c>
      <c r="BK2279">
        <v>4.5</v>
      </c>
      <c r="BL2279">
        <v>159.58000000000001</v>
      </c>
      <c r="BM2279">
        <v>23.94</v>
      </c>
      <c r="BN2279">
        <v>183.52</v>
      </c>
      <c r="BO2279">
        <v>183.52</v>
      </c>
      <c r="BQ2279" t="s">
        <v>366</v>
      </c>
      <c r="BR2279" t="s">
        <v>97</v>
      </c>
      <c r="BS2279" s="3">
        <v>45952</v>
      </c>
      <c r="BT2279" s="4">
        <v>0.43333333333333335</v>
      </c>
      <c r="BU2279" t="s">
        <v>2886</v>
      </c>
      <c r="BV2279" t="s">
        <v>86</v>
      </c>
      <c r="BY2279">
        <v>22440</v>
      </c>
      <c r="CA2279" t="s">
        <v>1145</v>
      </c>
      <c r="CC2279" t="s">
        <v>109</v>
      </c>
      <c r="CD2279">
        <v>6056</v>
      </c>
      <c r="CE2279" t="s">
        <v>107</v>
      </c>
      <c r="CF2279" s="3">
        <v>45952</v>
      </c>
      <c r="CI2279">
        <v>1</v>
      </c>
      <c r="CJ2279">
        <v>1</v>
      </c>
      <c r="CK2279">
        <v>21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"080068645611"</f>
        <v>080068645611</v>
      </c>
      <c r="F2280" s="3">
        <v>45951</v>
      </c>
      <c r="G2280">
        <v>202607</v>
      </c>
      <c r="H2280" t="s">
        <v>79</v>
      </c>
      <c r="I2280" t="s">
        <v>80</v>
      </c>
      <c r="J2280" t="s">
        <v>91</v>
      </c>
      <c r="K2280" t="s">
        <v>78</v>
      </c>
      <c r="L2280" t="s">
        <v>322</v>
      </c>
      <c r="M2280" t="s">
        <v>322</v>
      </c>
      <c r="N2280" t="s">
        <v>481</v>
      </c>
      <c r="O2280" t="s">
        <v>82</v>
      </c>
      <c r="P2280" t="str">
        <f>"4170065117                    "</f>
        <v xml:space="preserve">4170065117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43.31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2</v>
      </c>
      <c r="BJ2280">
        <v>1.1000000000000001</v>
      </c>
      <c r="BK2280">
        <v>2</v>
      </c>
      <c r="BL2280">
        <v>137.47</v>
      </c>
      <c r="BM2280">
        <v>20.62</v>
      </c>
      <c r="BN2280">
        <v>158.09</v>
      </c>
      <c r="BO2280">
        <v>158.09</v>
      </c>
      <c r="BQ2280" t="s">
        <v>482</v>
      </c>
      <c r="BR2280" t="s">
        <v>97</v>
      </c>
      <c r="BS2280" s="3">
        <v>45952</v>
      </c>
      <c r="BT2280" s="4">
        <v>0.53819444444444442</v>
      </c>
      <c r="BU2280" t="s">
        <v>1402</v>
      </c>
      <c r="BV2280" t="s">
        <v>86</v>
      </c>
      <c r="BY2280">
        <v>5510</v>
      </c>
      <c r="CA2280" t="s">
        <v>326</v>
      </c>
      <c r="CC2280" t="s">
        <v>322</v>
      </c>
      <c r="CD2280">
        <v>7646</v>
      </c>
      <c r="CE2280" t="s">
        <v>191</v>
      </c>
      <c r="CF2280" s="3">
        <v>45953</v>
      </c>
      <c r="CI2280">
        <v>1</v>
      </c>
      <c r="CJ2280">
        <v>1</v>
      </c>
      <c r="CK2280">
        <v>23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"080068645601"</f>
        <v>080068645601</v>
      </c>
      <c r="F2281" s="3">
        <v>45951</v>
      </c>
      <c r="G2281">
        <v>202607</v>
      </c>
      <c r="H2281" t="s">
        <v>79</v>
      </c>
      <c r="I2281" t="s">
        <v>80</v>
      </c>
      <c r="J2281" t="s">
        <v>91</v>
      </c>
      <c r="K2281" t="s">
        <v>78</v>
      </c>
      <c r="L2281" t="s">
        <v>108</v>
      </c>
      <c r="M2281" t="s">
        <v>109</v>
      </c>
      <c r="N2281" t="s">
        <v>751</v>
      </c>
      <c r="O2281" t="s">
        <v>82</v>
      </c>
      <c r="P2281" t="str">
        <f>"4170065124                    "</f>
        <v xml:space="preserve">4170065124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22.36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70.959999999999994</v>
      </c>
      <c r="BM2281">
        <v>10.64</v>
      </c>
      <c r="BN2281">
        <v>81.599999999999994</v>
      </c>
      <c r="BO2281">
        <v>81.599999999999994</v>
      </c>
      <c r="BQ2281" t="s">
        <v>752</v>
      </c>
      <c r="BR2281" t="s">
        <v>97</v>
      </c>
      <c r="BS2281" s="3">
        <v>45952</v>
      </c>
      <c r="BT2281" s="4">
        <v>0.35347222222222224</v>
      </c>
      <c r="BU2281" t="s">
        <v>2851</v>
      </c>
      <c r="BV2281" t="s">
        <v>86</v>
      </c>
      <c r="BY2281">
        <v>1200</v>
      </c>
      <c r="CA2281" t="s">
        <v>1090</v>
      </c>
      <c r="CC2281" t="s">
        <v>109</v>
      </c>
      <c r="CD2281">
        <v>6001</v>
      </c>
      <c r="CE2281" t="s">
        <v>147</v>
      </c>
      <c r="CF2281" s="3">
        <v>45952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"080068645623"</f>
        <v>080068645623</v>
      </c>
      <c r="F2282" s="3">
        <v>45951</v>
      </c>
      <c r="G2282">
        <v>202607</v>
      </c>
      <c r="H2282" t="s">
        <v>79</v>
      </c>
      <c r="I2282" t="s">
        <v>80</v>
      </c>
      <c r="J2282" t="s">
        <v>91</v>
      </c>
      <c r="K2282" t="s">
        <v>78</v>
      </c>
      <c r="L2282" t="s">
        <v>108</v>
      </c>
      <c r="M2282" t="s">
        <v>109</v>
      </c>
      <c r="N2282" t="s">
        <v>556</v>
      </c>
      <c r="O2282" t="s">
        <v>82</v>
      </c>
      <c r="P2282" t="str">
        <f>"4170065183                    "</f>
        <v xml:space="preserve">4170065183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22.36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70.959999999999994</v>
      </c>
      <c r="BM2282">
        <v>10.64</v>
      </c>
      <c r="BN2282">
        <v>81.599999999999994</v>
      </c>
      <c r="BO2282">
        <v>81.599999999999994</v>
      </c>
      <c r="BQ2282" t="s">
        <v>557</v>
      </c>
      <c r="BR2282" t="s">
        <v>97</v>
      </c>
      <c r="BS2282" s="3">
        <v>45952</v>
      </c>
      <c r="BT2282" s="4">
        <v>0.38472222222222224</v>
      </c>
      <c r="BU2282" t="s">
        <v>2887</v>
      </c>
      <c r="BV2282" t="s">
        <v>86</v>
      </c>
      <c r="BY2282">
        <v>1200</v>
      </c>
      <c r="CA2282" t="s">
        <v>559</v>
      </c>
      <c r="CC2282" t="s">
        <v>109</v>
      </c>
      <c r="CD2282">
        <v>6001</v>
      </c>
      <c r="CE2282" t="s">
        <v>147</v>
      </c>
      <c r="CF2282" s="3">
        <v>45952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"080068645635"</f>
        <v>080068645635</v>
      </c>
      <c r="F2283" s="3">
        <v>45951</v>
      </c>
      <c r="G2283">
        <v>202607</v>
      </c>
      <c r="H2283" t="s">
        <v>79</v>
      </c>
      <c r="I2283" t="s">
        <v>80</v>
      </c>
      <c r="J2283" t="s">
        <v>91</v>
      </c>
      <c r="K2283" t="s">
        <v>78</v>
      </c>
      <c r="L2283" t="s">
        <v>446</v>
      </c>
      <c r="M2283" t="s">
        <v>447</v>
      </c>
      <c r="N2283" t="s">
        <v>448</v>
      </c>
      <c r="O2283" t="s">
        <v>82</v>
      </c>
      <c r="P2283" t="str">
        <f>"4170065147                    "</f>
        <v xml:space="preserve">4170065147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43.31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</v>
      </c>
      <c r="BJ2283">
        <v>1.1000000000000001</v>
      </c>
      <c r="BK2283">
        <v>2</v>
      </c>
      <c r="BL2283">
        <v>137.47</v>
      </c>
      <c r="BM2283">
        <v>20.62</v>
      </c>
      <c r="BN2283">
        <v>158.09</v>
      </c>
      <c r="BO2283">
        <v>158.09</v>
      </c>
      <c r="BQ2283" t="s">
        <v>449</v>
      </c>
      <c r="BR2283" t="s">
        <v>97</v>
      </c>
      <c r="BS2283" s="3">
        <v>45952</v>
      </c>
      <c r="BT2283" s="4">
        <v>0.47569444444444442</v>
      </c>
      <c r="BU2283" t="s">
        <v>1537</v>
      </c>
      <c r="BV2283" t="s">
        <v>86</v>
      </c>
      <c r="BY2283">
        <v>5510</v>
      </c>
      <c r="CA2283" t="s">
        <v>1124</v>
      </c>
      <c r="CC2283" t="s">
        <v>447</v>
      </c>
      <c r="CD2283">
        <v>7130</v>
      </c>
      <c r="CE2283" t="s">
        <v>191</v>
      </c>
      <c r="CF2283" s="3">
        <v>45953</v>
      </c>
      <c r="CI2283">
        <v>1</v>
      </c>
      <c r="CJ2283">
        <v>1</v>
      </c>
      <c r="CK2283">
        <v>23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"080068645638"</f>
        <v>080068645638</v>
      </c>
      <c r="F2284" s="3">
        <v>45951</v>
      </c>
      <c r="G2284">
        <v>202607</v>
      </c>
      <c r="H2284" t="s">
        <v>79</v>
      </c>
      <c r="I2284" t="s">
        <v>80</v>
      </c>
      <c r="J2284" t="s">
        <v>91</v>
      </c>
      <c r="K2284" t="s">
        <v>78</v>
      </c>
      <c r="L2284" t="s">
        <v>333</v>
      </c>
      <c r="M2284" t="s">
        <v>334</v>
      </c>
      <c r="N2284" t="s">
        <v>1388</v>
      </c>
      <c r="O2284" t="s">
        <v>82</v>
      </c>
      <c r="P2284" t="str">
        <f>"4170065162                    "</f>
        <v xml:space="preserve">4170065162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22.36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70.959999999999994</v>
      </c>
      <c r="BM2284">
        <v>10.64</v>
      </c>
      <c r="BN2284">
        <v>81.599999999999994</v>
      </c>
      <c r="BO2284">
        <v>81.599999999999994</v>
      </c>
      <c r="BQ2284" t="s">
        <v>1389</v>
      </c>
      <c r="BR2284" t="s">
        <v>97</v>
      </c>
      <c r="BS2284" s="3">
        <v>45952</v>
      </c>
      <c r="BT2284" s="4">
        <v>0.41041666666666665</v>
      </c>
      <c r="BU2284" t="s">
        <v>2413</v>
      </c>
      <c r="BV2284" t="s">
        <v>86</v>
      </c>
      <c r="BY2284">
        <v>1200</v>
      </c>
      <c r="CA2284" t="s">
        <v>142</v>
      </c>
      <c r="CC2284" t="s">
        <v>334</v>
      </c>
      <c r="CD2284">
        <v>6220</v>
      </c>
      <c r="CE2284" t="s">
        <v>147</v>
      </c>
      <c r="CF2284" s="3">
        <v>45952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"080068645650"</f>
        <v>080068645650</v>
      </c>
      <c r="F2285" s="3">
        <v>45951</v>
      </c>
      <c r="G2285">
        <v>202607</v>
      </c>
      <c r="H2285" t="s">
        <v>79</v>
      </c>
      <c r="I2285" t="s">
        <v>80</v>
      </c>
      <c r="J2285" t="s">
        <v>91</v>
      </c>
      <c r="K2285" t="s">
        <v>78</v>
      </c>
      <c r="L2285" t="s">
        <v>668</v>
      </c>
      <c r="M2285" t="s">
        <v>669</v>
      </c>
      <c r="N2285" t="s">
        <v>670</v>
      </c>
      <c r="O2285" t="s">
        <v>226</v>
      </c>
      <c r="P2285" t="str">
        <f>"4170065161                    "</f>
        <v xml:space="preserve">4170065161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17.47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4.5</v>
      </c>
      <c r="BJ2285">
        <v>1.6</v>
      </c>
      <c r="BK2285">
        <v>5</v>
      </c>
      <c r="BL2285">
        <v>55.44</v>
      </c>
      <c r="BM2285">
        <v>8.32</v>
      </c>
      <c r="BN2285">
        <v>63.76</v>
      </c>
      <c r="BO2285">
        <v>63.76</v>
      </c>
      <c r="BQ2285" t="s">
        <v>2888</v>
      </c>
      <c r="BR2285" t="s">
        <v>97</v>
      </c>
      <c r="BS2285" s="3">
        <v>45952</v>
      </c>
      <c r="BT2285" s="4">
        <v>0.38472222222222224</v>
      </c>
      <c r="BU2285" t="s">
        <v>2889</v>
      </c>
      <c r="BV2285" t="s">
        <v>86</v>
      </c>
      <c r="BY2285">
        <v>7999.25</v>
      </c>
      <c r="CA2285" t="s">
        <v>673</v>
      </c>
      <c r="CC2285" t="s">
        <v>669</v>
      </c>
      <c r="CD2285">
        <v>1502</v>
      </c>
      <c r="CE2285" t="s">
        <v>107</v>
      </c>
      <c r="CF2285" s="3">
        <v>45952</v>
      </c>
      <c r="CI2285">
        <v>1</v>
      </c>
      <c r="CJ2285">
        <v>1</v>
      </c>
      <c r="CK2285">
        <v>32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"080068645649"</f>
        <v>080068645649</v>
      </c>
      <c r="F2286" s="3">
        <v>45951</v>
      </c>
      <c r="G2286">
        <v>202607</v>
      </c>
      <c r="H2286" t="s">
        <v>79</v>
      </c>
      <c r="I2286" t="s">
        <v>80</v>
      </c>
      <c r="J2286" t="s">
        <v>91</v>
      </c>
      <c r="K2286" t="s">
        <v>78</v>
      </c>
      <c r="L2286" t="s">
        <v>108</v>
      </c>
      <c r="M2286" t="s">
        <v>109</v>
      </c>
      <c r="N2286" t="s">
        <v>2559</v>
      </c>
      <c r="O2286" t="s">
        <v>82</v>
      </c>
      <c r="P2286" t="str">
        <f>"4170065198                    "</f>
        <v xml:space="preserve">4170065198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22.36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70.959999999999994</v>
      </c>
      <c r="BM2286">
        <v>10.64</v>
      </c>
      <c r="BN2286">
        <v>81.599999999999994</v>
      </c>
      <c r="BO2286">
        <v>81.599999999999994</v>
      </c>
      <c r="BQ2286" t="s">
        <v>2560</v>
      </c>
      <c r="BR2286" t="s">
        <v>97</v>
      </c>
      <c r="BS2286" s="3">
        <v>45952</v>
      </c>
      <c r="BT2286" s="4">
        <v>0.36944444444444446</v>
      </c>
      <c r="BU2286" t="s">
        <v>2890</v>
      </c>
      <c r="BV2286" t="s">
        <v>86</v>
      </c>
      <c r="BY2286">
        <v>1200</v>
      </c>
      <c r="CA2286" t="s">
        <v>2562</v>
      </c>
      <c r="CC2286" t="s">
        <v>109</v>
      </c>
      <c r="CD2286">
        <v>6001</v>
      </c>
      <c r="CE2286" t="s">
        <v>147</v>
      </c>
      <c r="CF2286" s="3">
        <v>45952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"080068645677"</f>
        <v>080068645677</v>
      </c>
      <c r="F2287" s="3">
        <v>45951</v>
      </c>
      <c r="G2287">
        <v>202607</v>
      </c>
      <c r="H2287" t="s">
        <v>79</v>
      </c>
      <c r="I2287" t="s">
        <v>80</v>
      </c>
      <c r="J2287" t="s">
        <v>91</v>
      </c>
      <c r="K2287" t="s">
        <v>78</v>
      </c>
      <c r="L2287" t="s">
        <v>121</v>
      </c>
      <c r="M2287" t="s">
        <v>122</v>
      </c>
      <c r="N2287" t="s">
        <v>123</v>
      </c>
      <c r="O2287" t="s">
        <v>82</v>
      </c>
      <c r="P2287" t="str">
        <f>"4170065208                    "</f>
        <v xml:space="preserve">4170065208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44.69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1.8</v>
      </c>
      <c r="BK2287">
        <v>4</v>
      </c>
      <c r="BL2287">
        <v>141.85</v>
      </c>
      <c r="BM2287">
        <v>21.28</v>
      </c>
      <c r="BN2287">
        <v>163.13</v>
      </c>
      <c r="BO2287">
        <v>163.13</v>
      </c>
      <c r="BQ2287" t="s">
        <v>124</v>
      </c>
      <c r="BR2287" t="s">
        <v>97</v>
      </c>
      <c r="BS2287" s="3">
        <v>45952</v>
      </c>
      <c r="BT2287" s="4">
        <v>0.35486111111111113</v>
      </c>
      <c r="BU2287" t="s">
        <v>1611</v>
      </c>
      <c r="BV2287" t="s">
        <v>86</v>
      </c>
      <c r="BY2287">
        <v>9072</v>
      </c>
      <c r="CA2287" t="s">
        <v>126</v>
      </c>
      <c r="CC2287" t="s">
        <v>122</v>
      </c>
      <c r="CD2287">
        <v>4051</v>
      </c>
      <c r="CE2287" t="s">
        <v>107</v>
      </c>
      <c r="CF2287" s="3">
        <v>45952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"080068645720"</f>
        <v>080068645720</v>
      </c>
      <c r="F2288" s="3">
        <v>45951</v>
      </c>
      <c r="G2288">
        <v>202607</v>
      </c>
      <c r="H2288" t="s">
        <v>79</v>
      </c>
      <c r="I2288" t="s">
        <v>80</v>
      </c>
      <c r="J2288" t="s">
        <v>91</v>
      </c>
      <c r="K2288" t="s">
        <v>78</v>
      </c>
      <c r="L2288" t="s">
        <v>239</v>
      </c>
      <c r="M2288" t="s">
        <v>240</v>
      </c>
      <c r="N2288" t="s">
        <v>526</v>
      </c>
      <c r="O2288" t="s">
        <v>82</v>
      </c>
      <c r="P2288" t="str">
        <f>"4170065165                    "</f>
        <v xml:space="preserve">4170065165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53.09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2.2999999999999998</v>
      </c>
      <c r="BJ2288">
        <v>1</v>
      </c>
      <c r="BK2288">
        <v>2.5</v>
      </c>
      <c r="BL2288">
        <v>168.51</v>
      </c>
      <c r="BM2288">
        <v>25.28</v>
      </c>
      <c r="BN2288">
        <v>193.79</v>
      </c>
      <c r="BO2288">
        <v>193.79</v>
      </c>
      <c r="BQ2288" t="s">
        <v>527</v>
      </c>
      <c r="BR2288" t="s">
        <v>97</v>
      </c>
      <c r="BS2288" s="3">
        <v>45952</v>
      </c>
      <c r="BT2288" s="4">
        <v>0.54166666666666663</v>
      </c>
      <c r="BU2288" t="s">
        <v>2891</v>
      </c>
      <c r="BV2288" t="s">
        <v>86</v>
      </c>
      <c r="BY2288">
        <v>5141.88</v>
      </c>
      <c r="CC2288" t="s">
        <v>240</v>
      </c>
      <c r="CD2288" s="5" t="s">
        <v>245</v>
      </c>
      <c r="CE2288" t="s">
        <v>107</v>
      </c>
      <c r="CF2288" s="3">
        <v>45953</v>
      </c>
      <c r="CI2288">
        <v>1</v>
      </c>
      <c r="CJ2288">
        <v>1</v>
      </c>
      <c r="CK2288">
        <v>23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"080068645749"</f>
        <v>080068645749</v>
      </c>
      <c r="F2289" s="3">
        <v>45951</v>
      </c>
      <c r="G2289">
        <v>202607</v>
      </c>
      <c r="H2289" t="s">
        <v>79</v>
      </c>
      <c r="I2289" t="s">
        <v>80</v>
      </c>
      <c r="J2289" t="s">
        <v>91</v>
      </c>
      <c r="K2289" t="s">
        <v>78</v>
      </c>
      <c r="L2289" t="s">
        <v>108</v>
      </c>
      <c r="M2289" t="s">
        <v>109</v>
      </c>
      <c r="N2289" t="s">
        <v>548</v>
      </c>
      <c r="O2289" t="s">
        <v>82</v>
      </c>
      <c r="P2289" t="str">
        <f>"4170065130                    "</f>
        <v xml:space="preserve">4170065130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67.03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5.8</v>
      </c>
      <c r="BJ2289">
        <v>4.0999999999999996</v>
      </c>
      <c r="BK2289">
        <v>6</v>
      </c>
      <c r="BL2289">
        <v>212.75</v>
      </c>
      <c r="BM2289">
        <v>31.91</v>
      </c>
      <c r="BN2289">
        <v>244.66</v>
      </c>
      <c r="BO2289">
        <v>244.66</v>
      </c>
      <c r="BQ2289" t="s">
        <v>549</v>
      </c>
      <c r="BR2289" t="s">
        <v>97</v>
      </c>
      <c r="BS2289" s="3">
        <v>45952</v>
      </c>
      <c r="BT2289" s="4">
        <v>0.35208333333333336</v>
      </c>
      <c r="BU2289" t="s">
        <v>2851</v>
      </c>
      <c r="BV2289" t="s">
        <v>86</v>
      </c>
      <c r="BY2289">
        <v>20506.8</v>
      </c>
      <c r="CA2289" t="s">
        <v>1090</v>
      </c>
      <c r="CC2289" t="s">
        <v>109</v>
      </c>
      <c r="CD2289">
        <v>6001</v>
      </c>
      <c r="CE2289" t="s">
        <v>107</v>
      </c>
      <c r="CF2289" s="3">
        <v>45952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"080068645768"</f>
        <v>080068645768</v>
      </c>
      <c r="F2290" s="3">
        <v>45951</v>
      </c>
      <c r="G2290">
        <v>202607</v>
      </c>
      <c r="H2290" t="s">
        <v>79</v>
      </c>
      <c r="I2290" t="s">
        <v>80</v>
      </c>
      <c r="J2290" t="s">
        <v>91</v>
      </c>
      <c r="K2290" t="s">
        <v>78</v>
      </c>
      <c r="L2290" t="s">
        <v>79</v>
      </c>
      <c r="M2290" t="s">
        <v>80</v>
      </c>
      <c r="N2290" t="s">
        <v>1986</v>
      </c>
      <c r="O2290" t="s">
        <v>82</v>
      </c>
      <c r="P2290" t="str">
        <f>"4170065172                    "</f>
        <v xml:space="preserve">4170065172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17.46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0.8</v>
      </c>
      <c r="BK2290">
        <v>1</v>
      </c>
      <c r="BL2290">
        <v>55.42</v>
      </c>
      <c r="BM2290">
        <v>8.31</v>
      </c>
      <c r="BN2290">
        <v>63.73</v>
      </c>
      <c r="BO2290">
        <v>63.73</v>
      </c>
      <c r="BQ2290" t="s">
        <v>1987</v>
      </c>
      <c r="BR2290" t="s">
        <v>97</v>
      </c>
      <c r="BS2290" s="3">
        <v>45952</v>
      </c>
      <c r="BT2290" s="4">
        <v>0.42708333333333331</v>
      </c>
      <c r="BU2290" t="s">
        <v>2892</v>
      </c>
      <c r="BV2290" t="s">
        <v>86</v>
      </c>
      <c r="BY2290">
        <v>3920</v>
      </c>
      <c r="CC2290" t="s">
        <v>80</v>
      </c>
      <c r="CD2290">
        <v>1624</v>
      </c>
      <c r="CE2290" t="s">
        <v>107</v>
      </c>
      <c r="CF2290" s="3">
        <v>45953</v>
      </c>
      <c r="CI2290">
        <v>1</v>
      </c>
      <c r="CJ2290">
        <v>1</v>
      </c>
      <c r="CK2290">
        <v>22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"080068645791"</f>
        <v>080068645791</v>
      </c>
      <c r="F2291" s="3">
        <v>45951</v>
      </c>
      <c r="G2291">
        <v>202607</v>
      </c>
      <c r="H2291" t="s">
        <v>79</v>
      </c>
      <c r="I2291" t="s">
        <v>80</v>
      </c>
      <c r="J2291" t="s">
        <v>91</v>
      </c>
      <c r="K2291" t="s">
        <v>78</v>
      </c>
      <c r="L2291" t="s">
        <v>453</v>
      </c>
      <c r="M2291" t="s">
        <v>454</v>
      </c>
      <c r="N2291" t="s">
        <v>968</v>
      </c>
      <c r="O2291" t="s">
        <v>82</v>
      </c>
      <c r="P2291" t="str">
        <f>"4170065155                    "</f>
        <v xml:space="preserve">4170065155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44.69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2</v>
      </c>
      <c r="BJ2291">
        <v>3.6</v>
      </c>
      <c r="BK2291">
        <v>4</v>
      </c>
      <c r="BL2291">
        <v>141.85</v>
      </c>
      <c r="BM2291">
        <v>21.28</v>
      </c>
      <c r="BN2291">
        <v>163.13</v>
      </c>
      <c r="BO2291">
        <v>163.13</v>
      </c>
      <c r="BQ2291" t="s">
        <v>969</v>
      </c>
      <c r="BR2291" t="s">
        <v>97</v>
      </c>
      <c r="BS2291" s="3">
        <v>45952</v>
      </c>
      <c r="BT2291" s="4">
        <v>0.4236111111111111</v>
      </c>
      <c r="BU2291" t="s">
        <v>1228</v>
      </c>
      <c r="BV2291" t="s">
        <v>86</v>
      </c>
      <c r="BY2291">
        <v>17836</v>
      </c>
      <c r="CA2291" t="s">
        <v>457</v>
      </c>
      <c r="CC2291" t="s">
        <v>454</v>
      </c>
      <c r="CD2291">
        <v>3600</v>
      </c>
      <c r="CE2291" t="s">
        <v>107</v>
      </c>
      <c r="CF2291" s="3">
        <v>45952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"080068645810"</f>
        <v>080068645810</v>
      </c>
      <c r="F2292" s="3">
        <v>45951</v>
      </c>
      <c r="G2292">
        <v>202607</v>
      </c>
      <c r="H2292" t="s">
        <v>79</v>
      </c>
      <c r="I2292" t="s">
        <v>80</v>
      </c>
      <c r="J2292" t="s">
        <v>91</v>
      </c>
      <c r="K2292" t="s">
        <v>78</v>
      </c>
      <c r="L2292" t="s">
        <v>206</v>
      </c>
      <c r="M2292" t="s">
        <v>207</v>
      </c>
      <c r="N2292" t="s">
        <v>656</v>
      </c>
      <c r="O2292" t="s">
        <v>82</v>
      </c>
      <c r="P2292" t="str">
        <f>"4170065157                    "</f>
        <v xml:space="preserve">4170065157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33.520000000000003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</v>
      </c>
      <c r="BJ2292">
        <v>2.8</v>
      </c>
      <c r="BK2292">
        <v>3</v>
      </c>
      <c r="BL2292">
        <v>106.4</v>
      </c>
      <c r="BM2292">
        <v>15.96</v>
      </c>
      <c r="BN2292">
        <v>122.36</v>
      </c>
      <c r="BO2292">
        <v>122.36</v>
      </c>
      <c r="BQ2292" t="s">
        <v>657</v>
      </c>
      <c r="BR2292" t="s">
        <v>97</v>
      </c>
      <c r="BS2292" s="3">
        <v>45952</v>
      </c>
      <c r="BT2292" s="4">
        <v>0.41666666666666669</v>
      </c>
      <c r="BU2292" t="s">
        <v>1442</v>
      </c>
      <c r="BV2292" t="s">
        <v>86</v>
      </c>
      <c r="BY2292">
        <v>14112</v>
      </c>
      <c r="CA2292" t="s">
        <v>770</v>
      </c>
      <c r="CC2292" t="s">
        <v>207</v>
      </c>
      <c r="CD2292">
        <v>7441</v>
      </c>
      <c r="CE2292" t="s">
        <v>107</v>
      </c>
      <c r="CF2292" s="3">
        <v>45953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"080068645837"</f>
        <v>080068645837</v>
      </c>
      <c r="F2293" s="3">
        <v>45951</v>
      </c>
      <c r="G2293">
        <v>202607</v>
      </c>
      <c r="H2293" t="s">
        <v>79</v>
      </c>
      <c r="I2293" t="s">
        <v>80</v>
      </c>
      <c r="J2293" t="s">
        <v>91</v>
      </c>
      <c r="K2293" t="s">
        <v>78</v>
      </c>
      <c r="L2293" t="s">
        <v>121</v>
      </c>
      <c r="M2293" t="s">
        <v>122</v>
      </c>
      <c r="N2293" t="s">
        <v>123</v>
      </c>
      <c r="O2293" t="s">
        <v>82</v>
      </c>
      <c r="P2293" t="str">
        <f>"4170064944                    "</f>
        <v xml:space="preserve">4170064944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22.36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1.1000000000000001</v>
      </c>
      <c r="BK2293">
        <v>2</v>
      </c>
      <c r="BL2293">
        <v>70.959999999999994</v>
      </c>
      <c r="BM2293">
        <v>10.64</v>
      </c>
      <c r="BN2293">
        <v>81.599999999999994</v>
      </c>
      <c r="BO2293">
        <v>81.599999999999994</v>
      </c>
      <c r="BQ2293" t="s">
        <v>124</v>
      </c>
      <c r="BR2293" t="s">
        <v>97</v>
      </c>
      <c r="BS2293" s="3">
        <v>45952</v>
      </c>
      <c r="BT2293" s="4">
        <v>0.35486111111111113</v>
      </c>
      <c r="BU2293" t="s">
        <v>1611</v>
      </c>
      <c r="BV2293" t="s">
        <v>86</v>
      </c>
      <c r="BY2293">
        <v>5510</v>
      </c>
      <c r="CA2293" t="s">
        <v>126</v>
      </c>
      <c r="CC2293" t="s">
        <v>122</v>
      </c>
      <c r="CD2293">
        <v>4051</v>
      </c>
      <c r="CE2293" t="s">
        <v>191</v>
      </c>
      <c r="CF2293" s="3">
        <v>45952</v>
      </c>
      <c r="CI2293">
        <v>1</v>
      </c>
      <c r="CJ2293">
        <v>1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"080068645874"</f>
        <v>080068645874</v>
      </c>
      <c r="F2294" s="3">
        <v>45951</v>
      </c>
      <c r="G2294">
        <v>202607</v>
      </c>
      <c r="H2294" t="s">
        <v>79</v>
      </c>
      <c r="I2294" t="s">
        <v>80</v>
      </c>
      <c r="J2294" t="s">
        <v>91</v>
      </c>
      <c r="K2294" t="s">
        <v>78</v>
      </c>
      <c r="L2294" t="s">
        <v>246</v>
      </c>
      <c r="M2294" t="s">
        <v>247</v>
      </c>
      <c r="N2294" t="s">
        <v>2893</v>
      </c>
      <c r="O2294" t="s">
        <v>82</v>
      </c>
      <c r="P2294" t="str">
        <f>"4170065131                    "</f>
        <v xml:space="preserve">4170065131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43.31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16.739999999999998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0.9</v>
      </c>
      <c r="BK2294">
        <v>1</v>
      </c>
      <c r="BL2294">
        <v>154.21</v>
      </c>
      <c r="BM2294">
        <v>23.13</v>
      </c>
      <c r="BN2294">
        <v>177.34</v>
      </c>
      <c r="BO2294">
        <v>177.34</v>
      </c>
      <c r="BQ2294" t="s">
        <v>2894</v>
      </c>
      <c r="BR2294" t="s">
        <v>97</v>
      </c>
      <c r="BS2294" s="3">
        <v>45952</v>
      </c>
      <c r="BT2294" s="4">
        <v>0.47916666666666669</v>
      </c>
      <c r="BU2294" t="s">
        <v>2895</v>
      </c>
      <c r="BV2294" t="s">
        <v>86</v>
      </c>
      <c r="BY2294">
        <v>4275</v>
      </c>
      <c r="BZ2294" t="s">
        <v>30</v>
      </c>
      <c r="CA2294" t="s">
        <v>146</v>
      </c>
      <c r="CC2294" t="s">
        <v>247</v>
      </c>
      <c r="CD2294" s="5" t="s">
        <v>2896</v>
      </c>
      <c r="CE2294" t="s">
        <v>191</v>
      </c>
      <c r="CF2294" s="3">
        <v>45953</v>
      </c>
      <c r="CI2294">
        <v>1</v>
      </c>
      <c r="CJ2294">
        <v>1</v>
      </c>
      <c r="CK2294">
        <v>23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"080068645905"</f>
        <v>080068645905</v>
      </c>
      <c r="F2295" s="3">
        <v>45951</v>
      </c>
      <c r="G2295">
        <v>202607</v>
      </c>
      <c r="H2295" t="s">
        <v>79</v>
      </c>
      <c r="I2295" t="s">
        <v>80</v>
      </c>
      <c r="J2295" t="s">
        <v>91</v>
      </c>
      <c r="K2295" t="s">
        <v>78</v>
      </c>
      <c r="L2295" t="s">
        <v>206</v>
      </c>
      <c r="M2295" t="s">
        <v>207</v>
      </c>
      <c r="N2295" t="s">
        <v>208</v>
      </c>
      <c r="O2295" t="s">
        <v>82</v>
      </c>
      <c r="P2295" t="str">
        <f>"4170065141                    "</f>
        <v xml:space="preserve">4170065141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50.28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2</v>
      </c>
      <c r="BJ2295">
        <v>4.0999999999999996</v>
      </c>
      <c r="BK2295">
        <v>4.5</v>
      </c>
      <c r="BL2295">
        <v>159.58000000000001</v>
      </c>
      <c r="BM2295">
        <v>23.94</v>
      </c>
      <c r="BN2295">
        <v>183.52</v>
      </c>
      <c r="BO2295">
        <v>183.52</v>
      </c>
      <c r="BQ2295" t="s">
        <v>209</v>
      </c>
      <c r="BR2295" t="s">
        <v>97</v>
      </c>
      <c r="BS2295" s="3">
        <v>45952</v>
      </c>
      <c r="BT2295" s="4">
        <v>0.38055555555555554</v>
      </c>
      <c r="BU2295" t="s">
        <v>1732</v>
      </c>
      <c r="BV2295" t="s">
        <v>86</v>
      </c>
      <c r="BY2295">
        <v>20358</v>
      </c>
      <c r="CA2295" t="s">
        <v>211</v>
      </c>
      <c r="CC2295" t="s">
        <v>207</v>
      </c>
      <c r="CD2295">
        <v>7441</v>
      </c>
      <c r="CE2295" t="s">
        <v>191</v>
      </c>
      <c r="CF2295" s="3">
        <v>45953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"080068645932"</f>
        <v>080068645932</v>
      </c>
      <c r="F2296" s="3">
        <v>45951</v>
      </c>
      <c r="G2296">
        <v>202607</v>
      </c>
      <c r="H2296" t="s">
        <v>79</v>
      </c>
      <c r="I2296" t="s">
        <v>80</v>
      </c>
      <c r="J2296" t="s">
        <v>91</v>
      </c>
      <c r="K2296" t="s">
        <v>78</v>
      </c>
      <c r="L2296" t="s">
        <v>168</v>
      </c>
      <c r="M2296" t="s">
        <v>169</v>
      </c>
      <c r="N2296" t="s">
        <v>170</v>
      </c>
      <c r="O2296" t="s">
        <v>95</v>
      </c>
      <c r="P2296" t="str">
        <f>"4170064833                    "</f>
        <v xml:space="preserve">4170064833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43.23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1.8</v>
      </c>
      <c r="BJ2296">
        <v>3.4</v>
      </c>
      <c r="BK2296">
        <v>4</v>
      </c>
      <c r="BL2296">
        <v>143.08000000000001</v>
      </c>
      <c r="BM2296">
        <v>21.46</v>
      </c>
      <c r="BN2296">
        <v>164.54</v>
      </c>
      <c r="BO2296">
        <v>164.54</v>
      </c>
      <c r="BQ2296" t="s">
        <v>171</v>
      </c>
      <c r="BR2296" t="s">
        <v>97</v>
      </c>
      <c r="BS2296" s="3">
        <v>45952</v>
      </c>
      <c r="BT2296" s="4">
        <v>0.36527777777777776</v>
      </c>
      <c r="BU2296" t="s">
        <v>2132</v>
      </c>
      <c r="BV2296" t="s">
        <v>86</v>
      </c>
      <c r="BY2296">
        <v>16969.64</v>
      </c>
      <c r="CA2296">
        <v>7712195338085</v>
      </c>
      <c r="CC2296" t="s">
        <v>169</v>
      </c>
      <c r="CD2296" s="5" t="s">
        <v>173</v>
      </c>
      <c r="CE2296" t="s">
        <v>107</v>
      </c>
      <c r="CF2296" s="3">
        <v>45952</v>
      </c>
      <c r="CI2296">
        <v>1</v>
      </c>
      <c r="CJ2296">
        <v>1</v>
      </c>
      <c r="CK2296">
        <v>41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"080068645956"</f>
        <v>080068645956</v>
      </c>
      <c r="F2297" s="3">
        <v>45951</v>
      </c>
      <c r="G2297">
        <v>202607</v>
      </c>
      <c r="H2297" t="s">
        <v>79</v>
      </c>
      <c r="I2297" t="s">
        <v>80</v>
      </c>
      <c r="J2297" t="s">
        <v>91</v>
      </c>
      <c r="K2297" t="s">
        <v>78</v>
      </c>
      <c r="L2297" t="s">
        <v>542</v>
      </c>
      <c r="M2297" t="s">
        <v>543</v>
      </c>
      <c r="N2297" t="s">
        <v>2842</v>
      </c>
      <c r="O2297" t="s">
        <v>226</v>
      </c>
      <c r="P2297" t="str">
        <f>"4170064881                    "</f>
        <v xml:space="preserve">4170064881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23.35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11</v>
      </c>
      <c r="BJ2297">
        <v>3.8</v>
      </c>
      <c r="BK2297">
        <v>11</v>
      </c>
      <c r="BL2297">
        <v>74.099999999999994</v>
      </c>
      <c r="BM2297">
        <v>11.12</v>
      </c>
      <c r="BN2297">
        <v>85.22</v>
      </c>
      <c r="BO2297">
        <v>85.22</v>
      </c>
      <c r="BQ2297" t="s">
        <v>2843</v>
      </c>
      <c r="BR2297" t="s">
        <v>97</v>
      </c>
      <c r="BS2297" s="3">
        <v>45952</v>
      </c>
      <c r="BT2297" s="4">
        <v>0.40208333333333335</v>
      </c>
      <c r="BU2297" t="s">
        <v>2844</v>
      </c>
      <c r="BV2297" t="s">
        <v>86</v>
      </c>
      <c r="BY2297">
        <v>19158</v>
      </c>
      <c r="CA2297" t="s">
        <v>547</v>
      </c>
      <c r="CC2297" t="s">
        <v>543</v>
      </c>
      <c r="CD2297">
        <v>1682</v>
      </c>
      <c r="CE2297" t="s">
        <v>191</v>
      </c>
      <c r="CF2297" s="3">
        <v>45953</v>
      </c>
      <c r="CI2297">
        <v>1</v>
      </c>
      <c r="CJ2297">
        <v>1</v>
      </c>
      <c r="CK2297">
        <v>32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"080068645977"</f>
        <v>080068645977</v>
      </c>
      <c r="F2298" s="3">
        <v>45951</v>
      </c>
      <c r="G2298">
        <v>202607</v>
      </c>
      <c r="H2298" t="s">
        <v>79</v>
      </c>
      <c r="I2298" t="s">
        <v>80</v>
      </c>
      <c r="J2298" t="s">
        <v>91</v>
      </c>
      <c r="K2298" t="s">
        <v>78</v>
      </c>
      <c r="L2298" t="s">
        <v>322</v>
      </c>
      <c r="M2298" t="s">
        <v>322</v>
      </c>
      <c r="N2298" t="s">
        <v>483</v>
      </c>
      <c r="O2298" t="s">
        <v>82</v>
      </c>
      <c r="P2298" t="str">
        <f>"4170064896                    "</f>
        <v xml:space="preserve">4170064896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121.55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5.9</v>
      </c>
      <c r="BK2298">
        <v>6</v>
      </c>
      <c r="BL2298">
        <v>385.79</v>
      </c>
      <c r="BM2298">
        <v>57.87</v>
      </c>
      <c r="BN2298">
        <v>443.66</v>
      </c>
      <c r="BO2298">
        <v>443.66</v>
      </c>
      <c r="BQ2298" t="s">
        <v>486</v>
      </c>
      <c r="BR2298" t="s">
        <v>97</v>
      </c>
      <c r="BS2298" s="3">
        <v>45952</v>
      </c>
      <c r="BT2298" s="4">
        <v>0.53749999999999998</v>
      </c>
      <c r="BU2298" t="s">
        <v>485</v>
      </c>
      <c r="BV2298" t="s">
        <v>86</v>
      </c>
      <c r="BY2298">
        <v>29568</v>
      </c>
      <c r="CA2298" t="s">
        <v>326</v>
      </c>
      <c r="CC2298" t="s">
        <v>322</v>
      </c>
      <c r="CD2298">
        <v>7646</v>
      </c>
      <c r="CE2298" t="s">
        <v>107</v>
      </c>
      <c r="CF2298" s="3">
        <v>45953</v>
      </c>
      <c r="CI2298">
        <v>1</v>
      </c>
      <c r="CJ2298">
        <v>1</v>
      </c>
      <c r="CK2298">
        <v>23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"080068646021"</f>
        <v>080068646021</v>
      </c>
      <c r="F2299" s="3">
        <v>45951</v>
      </c>
      <c r="G2299">
        <v>202607</v>
      </c>
      <c r="H2299" t="s">
        <v>79</v>
      </c>
      <c r="I2299" t="s">
        <v>80</v>
      </c>
      <c r="J2299" t="s">
        <v>91</v>
      </c>
      <c r="K2299" t="s">
        <v>78</v>
      </c>
      <c r="L2299" t="s">
        <v>79</v>
      </c>
      <c r="M2299" t="s">
        <v>80</v>
      </c>
      <c r="N2299" t="s">
        <v>539</v>
      </c>
      <c r="O2299" t="s">
        <v>82</v>
      </c>
      <c r="P2299" t="str">
        <f>"4170065150                    "</f>
        <v xml:space="preserve">4170065150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17.46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0.8</v>
      </c>
      <c r="BJ2299">
        <v>2</v>
      </c>
      <c r="BK2299">
        <v>2</v>
      </c>
      <c r="BL2299">
        <v>55.42</v>
      </c>
      <c r="BM2299">
        <v>8.31</v>
      </c>
      <c r="BN2299">
        <v>63.73</v>
      </c>
      <c r="BO2299">
        <v>63.73</v>
      </c>
      <c r="BQ2299" t="s">
        <v>540</v>
      </c>
      <c r="BR2299" t="s">
        <v>97</v>
      </c>
      <c r="BS2299" s="3">
        <v>45952</v>
      </c>
      <c r="BT2299" s="4">
        <v>0.4375</v>
      </c>
      <c r="BU2299" t="s">
        <v>2897</v>
      </c>
      <c r="BV2299" t="s">
        <v>86</v>
      </c>
      <c r="BY2299">
        <v>10077.6</v>
      </c>
      <c r="CA2299" t="s">
        <v>1659</v>
      </c>
      <c r="CC2299" t="s">
        <v>80</v>
      </c>
      <c r="CD2299">
        <v>1614</v>
      </c>
      <c r="CE2299" t="s">
        <v>191</v>
      </c>
      <c r="CF2299" s="3">
        <v>45953</v>
      </c>
      <c r="CI2299">
        <v>1</v>
      </c>
      <c r="CJ2299">
        <v>1</v>
      </c>
      <c r="CK2299">
        <v>22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"080068646049"</f>
        <v>080068646049</v>
      </c>
      <c r="F2300" s="3">
        <v>45951</v>
      </c>
      <c r="G2300">
        <v>202607</v>
      </c>
      <c r="H2300" t="s">
        <v>79</v>
      </c>
      <c r="I2300" t="s">
        <v>80</v>
      </c>
      <c r="J2300" t="s">
        <v>91</v>
      </c>
      <c r="K2300" t="s">
        <v>78</v>
      </c>
      <c r="L2300" t="s">
        <v>79</v>
      </c>
      <c r="M2300" t="s">
        <v>80</v>
      </c>
      <c r="N2300" t="s">
        <v>577</v>
      </c>
      <c r="O2300" t="s">
        <v>82</v>
      </c>
      <c r="P2300" t="str">
        <f>"4170064905                    "</f>
        <v xml:space="preserve">4170064905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17.46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1.1000000000000001</v>
      </c>
      <c r="BK2300">
        <v>2</v>
      </c>
      <c r="BL2300">
        <v>55.42</v>
      </c>
      <c r="BM2300">
        <v>8.31</v>
      </c>
      <c r="BN2300">
        <v>63.73</v>
      </c>
      <c r="BO2300">
        <v>63.73</v>
      </c>
      <c r="BQ2300" t="s">
        <v>578</v>
      </c>
      <c r="BR2300" t="s">
        <v>97</v>
      </c>
      <c r="BS2300" s="3">
        <v>45952</v>
      </c>
      <c r="BT2300" s="4">
        <v>0.38541666666666669</v>
      </c>
      <c r="BU2300" t="s">
        <v>579</v>
      </c>
      <c r="BV2300" t="s">
        <v>86</v>
      </c>
      <c r="BY2300">
        <v>5510</v>
      </c>
      <c r="CA2300" t="s">
        <v>580</v>
      </c>
      <c r="CC2300" t="s">
        <v>80</v>
      </c>
      <c r="CD2300">
        <v>1619</v>
      </c>
      <c r="CE2300" t="s">
        <v>191</v>
      </c>
      <c r="CF2300" s="3">
        <v>45953</v>
      </c>
      <c r="CI2300">
        <v>1</v>
      </c>
      <c r="CJ2300">
        <v>1</v>
      </c>
      <c r="CK2300">
        <v>22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"080068646069"</f>
        <v>080068646069</v>
      </c>
      <c r="F2301" s="3">
        <v>45951</v>
      </c>
      <c r="G2301">
        <v>202607</v>
      </c>
      <c r="H2301" t="s">
        <v>79</v>
      </c>
      <c r="I2301" t="s">
        <v>80</v>
      </c>
      <c r="J2301" t="s">
        <v>91</v>
      </c>
      <c r="K2301" t="s">
        <v>78</v>
      </c>
      <c r="L2301" t="s">
        <v>1765</v>
      </c>
      <c r="M2301" t="s">
        <v>1766</v>
      </c>
      <c r="N2301" t="s">
        <v>2898</v>
      </c>
      <c r="O2301" t="s">
        <v>82</v>
      </c>
      <c r="P2301" t="str">
        <f>"4170064914                    "</f>
        <v xml:space="preserve">4170064914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43.31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0.9</v>
      </c>
      <c r="BK2301">
        <v>1</v>
      </c>
      <c r="BL2301">
        <v>137.47</v>
      </c>
      <c r="BM2301">
        <v>20.62</v>
      </c>
      <c r="BN2301">
        <v>158.09</v>
      </c>
      <c r="BO2301">
        <v>158.09</v>
      </c>
      <c r="BQ2301" t="s">
        <v>2899</v>
      </c>
      <c r="BR2301" t="s">
        <v>97</v>
      </c>
      <c r="BS2301" s="3">
        <v>45952</v>
      </c>
      <c r="BT2301" s="4">
        <v>0.41666666666666669</v>
      </c>
      <c r="BU2301" t="s">
        <v>2900</v>
      </c>
      <c r="BV2301" t="s">
        <v>86</v>
      </c>
      <c r="BY2301">
        <v>4560</v>
      </c>
      <c r="CA2301" t="s">
        <v>2109</v>
      </c>
      <c r="CC2301" t="s">
        <v>1766</v>
      </c>
      <c r="CD2301">
        <v>1034</v>
      </c>
      <c r="CE2301" t="s">
        <v>191</v>
      </c>
      <c r="CF2301" s="3">
        <v>45953</v>
      </c>
      <c r="CI2301">
        <v>1</v>
      </c>
      <c r="CJ2301">
        <v>1</v>
      </c>
      <c r="CK2301">
        <v>23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"080068646159"</f>
        <v>080068646159</v>
      </c>
      <c r="F2302" s="3">
        <v>45951</v>
      </c>
      <c r="G2302">
        <v>202607</v>
      </c>
      <c r="H2302" t="s">
        <v>79</v>
      </c>
      <c r="I2302" t="s">
        <v>80</v>
      </c>
      <c r="J2302" t="s">
        <v>91</v>
      </c>
      <c r="K2302" t="s">
        <v>78</v>
      </c>
      <c r="L2302" t="s">
        <v>206</v>
      </c>
      <c r="M2302" t="s">
        <v>207</v>
      </c>
      <c r="N2302" t="s">
        <v>458</v>
      </c>
      <c r="O2302" t="s">
        <v>82</v>
      </c>
      <c r="P2302" t="str">
        <f>"4170064927                    "</f>
        <v xml:space="preserve">4170064927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22.36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1.3</v>
      </c>
      <c r="BK2302">
        <v>1.5</v>
      </c>
      <c r="BL2302">
        <v>70.959999999999994</v>
      </c>
      <c r="BM2302">
        <v>10.64</v>
      </c>
      <c r="BN2302">
        <v>81.599999999999994</v>
      </c>
      <c r="BO2302">
        <v>81.599999999999994</v>
      </c>
      <c r="BQ2302" t="s">
        <v>459</v>
      </c>
      <c r="BR2302" t="s">
        <v>97</v>
      </c>
      <c r="BS2302" s="3">
        <v>45952</v>
      </c>
      <c r="BT2302" s="4">
        <v>0.43194444444444446</v>
      </c>
      <c r="BU2302" t="s">
        <v>2901</v>
      </c>
      <c r="BV2302" t="s">
        <v>86</v>
      </c>
      <c r="BY2302">
        <v>6336</v>
      </c>
      <c r="CA2302" t="s">
        <v>461</v>
      </c>
      <c r="CC2302" t="s">
        <v>207</v>
      </c>
      <c r="CD2302">
        <v>7530</v>
      </c>
      <c r="CE2302" t="s">
        <v>107</v>
      </c>
      <c r="CF2302" s="3">
        <v>45953</v>
      </c>
      <c r="CI2302">
        <v>1</v>
      </c>
      <c r="CJ2302">
        <v>1</v>
      </c>
      <c r="CK2302">
        <v>21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"080068646181"</f>
        <v>080068646181</v>
      </c>
      <c r="F2303" s="3">
        <v>45951</v>
      </c>
      <c r="G2303">
        <v>202607</v>
      </c>
      <c r="H2303" t="s">
        <v>79</v>
      </c>
      <c r="I2303" t="s">
        <v>80</v>
      </c>
      <c r="J2303" t="s">
        <v>91</v>
      </c>
      <c r="K2303" t="s">
        <v>78</v>
      </c>
      <c r="L2303" t="s">
        <v>223</v>
      </c>
      <c r="M2303" t="s">
        <v>224</v>
      </c>
      <c r="N2303" t="s">
        <v>652</v>
      </c>
      <c r="O2303" t="s">
        <v>82</v>
      </c>
      <c r="P2303" t="str">
        <f>"4170065029                    "</f>
        <v xml:space="preserve">4170065029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17.46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4.4000000000000004</v>
      </c>
      <c r="BJ2303">
        <v>4.5999999999999996</v>
      </c>
      <c r="BK2303">
        <v>5</v>
      </c>
      <c r="BL2303">
        <v>55.42</v>
      </c>
      <c r="BM2303">
        <v>8.31</v>
      </c>
      <c r="BN2303">
        <v>63.73</v>
      </c>
      <c r="BO2303">
        <v>63.73</v>
      </c>
      <c r="BQ2303" t="s">
        <v>653</v>
      </c>
      <c r="BR2303" t="s">
        <v>97</v>
      </c>
      <c r="BS2303" s="3">
        <v>45952</v>
      </c>
      <c r="BT2303" s="4">
        <v>0.3888888888888889</v>
      </c>
      <c r="BU2303" t="s">
        <v>2902</v>
      </c>
      <c r="BV2303" t="s">
        <v>86</v>
      </c>
      <c r="BY2303">
        <v>23010.52</v>
      </c>
      <c r="CA2303" t="s">
        <v>508</v>
      </c>
      <c r="CC2303" t="s">
        <v>224</v>
      </c>
      <c r="CD2303">
        <v>1460</v>
      </c>
      <c r="CE2303" t="s">
        <v>107</v>
      </c>
      <c r="CF2303" s="3">
        <v>45952</v>
      </c>
      <c r="CI2303">
        <v>1</v>
      </c>
      <c r="CJ2303">
        <v>1</v>
      </c>
      <c r="CK2303">
        <v>22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"080068646289"</f>
        <v>080068646289</v>
      </c>
      <c r="F2304" s="3">
        <v>45951</v>
      </c>
      <c r="G2304">
        <v>202607</v>
      </c>
      <c r="H2304" t="s">
        <v>79</v>
      </c>
      <c r="I2304" t="s">
        <v>80</v>
      </c>
      <c r="J2304" t="s">
        <v>91</v>
      </c>
      <c r="K2304" t="s">
        <v>78</v>
      </c>
      <c r="L2304" t="s">
        <v>2903</v>
      </c>
      <c r="M2304" t="s">
        <v>2904</v>
      </c>
      <c r="N2304" t="s">
        <v>2905</v>
      </c>
      <c r="O2304" t="s">
        <v>82</v>
      </c>
      <c r="P2304" t="str">
        <f>"4170065156                    "</f>
        <v xml:space="preserve">4170065156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190.01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6</v>
      </c>
      <c r="BJ2304">
        <v>9.1</v>
      </c>
      <c r="BK2304">
        <v>9.5</v>
      </c>
      <c r="BL2304">
        <v>603.07000000000005</v>
      </c>
      <c r="BM2304">
        <v>90.46</v>
      </c>
      <c r="BN2304">
        <v>693.53</v>
      </c>
      <c r="BO2304">
        <v>693.53</v>
      </c>
      <c r="BQ2304" t="s">
        <v>2906</v>
      </c>
      <c r="BR2304" t="s">
        <v>97</v>
      </c>
      <c r="BS2304" s="3">
        <v>45952</v>
      </c>
      <c r="BT2304" s="4">
        <v>0.55277777777777781</v>
      </c>
      <c r="BU2304" t="s">
        <v>2907</v>
      </c>
      <c r="BV2304" t="s">
        <v>86</v>
      </c>
      <c r="BY2304">
        <v>45632</v>
      </c>
      <c r="CA2304" t="s">
        <v>2908</v>
      </c>
      <c r="CC2304" t="s">
        <v>2904</v>
      </c>
      <c r="CD2304">
        <v>7200</v>
      </c>
      <c r="CE2304" t="s">
        <v>191</v>
      </c>
      <c r="CF2304" s="3">
        <v>45953</v>
      </c>
      <c r="CI2304">
        <v>2</v>
      </c>
      <c r="CJ2304">
        <v>1</v>
      </c>
      <c r="CK2304">
        <v>23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"080068646319"</f>
        <v>080068646319</v>
      </c>
      <c r="F2305" s="3">
        <v>45951</v>
      </c>
      <c r="G2305">
        <v>202607</v>
      </c>
      <c r="H2305" t="s">
        <v>79</v>
      </c>
      <c r="I2305" t="s">
        <v>80</v>
      </c>
      <c r="J2305" t="s">
        <v>91</v>
      </c>
      <c r="K2305" t="s">
        <v>78</v>
      </c>
      <c r="L2305" t="s">
        <v>121</v>
      </c>
      <c r="M2305" t="s">
        <v>122</v>
      </c>
      <c r="N2305" t="s">
        <v>424</v>
      </c>
      <c r="O2305" t="s">
        <v>82</v>
      </c>
      <c r="P2305" t="str">
        <f>"4170065133                    "</f>
        <v xml:space="preserve">4170065133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22.36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0.7</v>
      </c>
      <c r="BK2305">
        <v>1</v>
      </c>
      <c r="BL2305">
        <v>70.959999999999994</v>
      </c>
      <c r="BM2305">
        <v>10.64</v>
      </c>
      <c r="BN2305">
        <v>81.599999999999994</v>
      </c>
      <c r="BO2305">
        <v>81.599999999999994</v>
      </c>
      <c r="BQ2305" t="s">
        <v>425</v>
      </c>
      <c r="BR2305" t="s">
        <v>97</v>
      </c>
      <c r="BS2305" s="3">
        <v>45952</v>
      </c>
      <c r="BT2305" s="4">
        <v>0.54861111111111116</v>
      </c>
      <c r="BU2305" t="s">
        <v>1470</v>
      </c>
      <c r="BV2305" t="s">
        <v>90</v>
      </c>
      <c r="BW2305" t="s">
        <v>771</v>
      </c>
      <c r="BX2305" t="s">
        <v>2909</v>
      </c>
      <c r="BY2305">
        <v>3700</v>
      </c>
      <c r="CA2305" t="s">
        <v>157</v>
      </c>
      <c r="CC2305" t="s">
        <v>122</v>
      </c>
      <c r="CD2305">
        <v>4052</v>
      </c>
      <c r="CE2305" t="s">
        <v>107</v>
      </c>
      <c r="CF2305" s="3">
        <v>45953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"080068646357"</f>
        <v>080068646357</v>
      </c>
      <c r="F2306" s="3">
        <v>45951</v>
      </c>
      <c r="G2306">
        <v>202607</v>
      </c>
      <c r="H2306" t="s">
        <v>79</v>
      </c>
      <c r="I2306" t="s">
        <v>80</v>
      </c>
      <c r="J2306" t="s">
        <v>91</v>
      </c>
      <c r="K2306" t="s">
        <v>78</v>
      </c>
      <c r="L2306" t="s">
        <v>206</v>
      </c>
      <c r="M2306" t="s">
        <v>207</v>
      </c>
      <c r="N2306" t="s">
        <v>427</v>
      </c>
      <c r="O2306" t="s">
        <v>82</v>
      </c>
      <c r="P2306" t="str">
        <f>"4170065180                    "</f>
        <v xml:space="preserve">4170065180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67.03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6</v>
      </c>
      <c r="BJ2306">
        <v>2.9</v>
      </c>
      <c r="BK2306">
        <v>6</v>
      </c>
      <c r="BL2306">
        <v>212.75</v>
      </c>
      <c r="BM2306">
        <v>31.91</v>
      </c>
      <c r="BN2306">
        <v>244.66</v>
      </c>
      <c r="BO2306">
        <v>244.66</v>
      </c>
      <c r="BQ2306" t="s">
        <v>428</v>
      </c>
      <c r="BR2306" t="s">
        <v>97</v>
      </c>
      <c r="BS2306" s="3">
        <v>45952</v>
      </c>
      <c r="BT2306" s="4">
        <v>0.37847222222222221</v>
      </c>
      <c r="BU2306" t="s">
        <v>1261</v>
      </c>
      <c r="BV2306" t="s">
        <v>86</v>
      </c>
      <c r="BY2306">
        <v>14592</v>
      </c>
      <c r="CA2306" t="s">
        <v>423</v>
      </c>
      <c r="CC2306" t="s">
        <v>207</v>
      </c>
      <c r="CD2306">
        <v>7530</v>
      </c>
      <c r="CE2306" t="s">
        <v>107</v>
      </c>
      <c r="CF2306" s="3">
        <v>45954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"080068646376"</f>
        <v>080068646376</v>
      </c>
      <c r="F2307" s="3">
        <v>45951</v>
      </c>
      <c r="G2307">
        <v>202607</v>
      </c>
      <c r="H2307" t="s">
        <v>79</v>
      </c>
      <c r="I2307" t="s">
        <v>80</v>
      </c>
      <c r="J2307" t="s">
        <v>91</v>
      </c>
      <c r="K2307" t="s">
        <v>78</v>
      </c>
      <c r="L2307" t="s">
        <v>206</v>
      </c>
      <c r="M2307" t="s">
        <v>207</v>
      </c>
      <c r="N2307" t="s">
        <v>427</v>
      </c>
      <c r="O2307" t="s">
        <v>82</v>
      </c>
      <c r="P2307" t="str">
        <f>"4170065126                    "</f>
        <v xml:space="preserve">4170065126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22.36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70.959999999999994</v>
      </c>
      <c r="BM2307">
        <v>10.64</v>
      </c>
      <c r="BN2307">
        <v>81.599999999999994</v>
      </c>
      <c r="BO2307">
        <v>81.599999999999994</v>
      </c>
      <c r="BQ2307" t="s">
        <v>428</v>
      </c>
      <c r="BR2307" t="s">
        <v>97</v>
      </c>
      <c r="BS2307" s="3">
        <v>45952</v>
      </c>
      <c r="BT2307" s="4">
        <v>0.37847222222222221</v>
      </c>
      <c r="BU2307" t="s">
        <v>1261</v>
      </c>
      <c r="BV2307" t="s">
        <v>86</v>
      </c>
      <c r="BY2307">
        <v>1200</v>
      </c>
      <c r="CA2307" t="s">
        <v>423</v>
      </c>
      <c r="CC2307" t="s">
        <v>207</v>
      </c>
      <c r="CD2307">
        <v>7530</v>
      </c>
      <c r="CE2307" t="s">
        <v>147</v>
      </c>
      <c r="CF2307" s="3">
        <v>45954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"080068646394"</f>
        <v>080068646394</v>
      </c>
      <c r="F2308" s="3">
        <v>45951</v>
      </c>
      <c r="G2308">
        <v>202607</v>
      </c>
      <c r="H2308" t="s">
        <v>79</v>
      </c>
      <c r="I2308" t="s">
        <v>80</v>
      </c>
      <c r="J2308" t="s">
        <v>91</v>
      </c>
      <c r="K2308" t="s">
        <v>78</v>
      </c>
      <c r="L2308" t="s">
        <v>79</v>
      </c>
      <c r="M2308" t="s">
        <v>80</v>
      </c>
      <c r="N2308" t="s">
        <v>357</v>
      </c>
      <c r="O2308" t="s">
        <v>82</v>
      </c>
      <c r="P2308" t="str">
        <f>"4170064888                    "</f>
        <v xml:space="preserve">4170064888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17.46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55.42</v>
      </c>
      <c r="BM2308">
        <v>8.31</v>
      </c>
      <c r="BN2308">
        <v>63.73</v>
      </c>
      <c r="BO2308">
        <v>63.73</v>
      </c>
      <c r="BQ2308" t="s">
        <v>358</v>
      </c>
      <c r="BR2308" t="s">
        <v>97</v>
      </c>
      <c r="BS2308" s="3">
        <v>45952</v>
      </c>
      <c r="BT2308" s="4">
        <v>0.4375</v>
      </c>
      <c r="BU2308" t="s">
        <v>1254</v>
      </c>
      <c r="BV2308" t="s">
        <v>86</v>
      </c>
      <c r="BY2308">
        <v>1200</v>
      </c>
      <c r="CC2308" t="s">
        <v>80</v>
      </c>
      <c r="CD2308">
        <v>1645</v>
      </c>
      <c r="CE2308" t="s">
        <v>147</v>
      </c>
      <c r="CF2308" s="3">
        <v>45953</v>
      </c>
      <c r="CI2308">
        <v>1</v>
      </c>
      <c r="CJ2308">
        <v>1</v>
      </c>
      <c r="CK2308">
        <v>22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"080068646412"</f>
        <v>080068646412</v>
      </c>
      <c r="F2309" s="3">
        <v>45951</v>
      </c>
      <c r="G2309">
        <v>202607</v>
      </c>
      <c r="H2309" t="s">
        <v>79</v>
      </c>
      <c r="I2309" t="s">
        <v>80</v>
      </c>
      <c r="J2309" t="s">
        <v>91</v>
      </c>
      <c r="K2309" t="s">
        <v>78</v>
      </c>
      <c r="L2309" t="s">
        <v>271</v>
      </c>
      <c r="M2309" t="s">
        <v>272</v>
      </c>
      <c r="N2309" t="s">
        <v>273</v>
      </c>
      <c r="O2309" t="s">
        <v>82</v>
      </c>
      <c r="P2309" t="str">
        <f>"4170065168                    "</f>
        <v xml:space="preserve">4170065168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17.46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55.42</v>
      </c>
      <c r="BM2309">
        <v>8.31</v>
      </c>
      <c r="BN2309">
        <v>63.73</v>
      </c>
      <c r="BO2309">
        <v>63.73</v>
      </c>
      <c r="BQ2309" t="s">
        <v>274</v>
      </c>
      <c r="BR2309" t="s">
        <v>97</v>
      </c>
      <c r="BS2309" s="3">
        <v>45952</v>
      </c>
      <c r="BT2309" s="4">
        <v>0.43055555555555558</v>
      </c>
      <c r="BU2309" t="s">
        <v>1901</v>
      </c>
      <c r="BV2309" t="s">
        <v>86</v>
      </c>
      <c r="BY2309">
        <v>1200</v>
      </c>
      <c r="CA2309" t="s">
        <v>661</v>
      </c>
      <c r="CC2309" t="s">
        <v>272</v>
      </c>
      <c r="CD2309">
        <v>1422</v>
      </c>
      <c r="CE2309" t="s">
        <v>147</v>
      </c>
      <c r="CF2309" s="3">
        <v>45953</v>
      </c>
      <c r="CI2309">
        <v>1</v>
      </c>
      <c r="CJ2309">
        <v>1</v>
      </c>
      <c r="CK2309">
        <v>22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"080068646421"</f>
        <v>080068646421</v>
      </c>
      <c r="F2310" s="3">
        <v>45951</v>
      </c>
      <c r="G2310">
        <v>202607</v>
      </c>
      <c r="H2310" t="s">
        <v>79</v>
      </c>
      <c r="I2310" t="s">
        <v>80</v>
      </c>
      <c r="J2310" t="s">
        <v>91</v>
      </c>
      <c r="K2310" t="s">
        <v>78</v>
      </c>
      <c r="L2310" t="s">
        <v>121</v>
      </c>
      <c r="M2310" t="s">
        <v>122</v>
      </c>
      <c r="N2310" t="s">
        <v>707</v>
      </c>
      <c r="O2310" t="s">
        <v>82</v>
      </c>
      <c r="P2310" t="str">
        <f>"4170065118                    "</f>
        <v xml:space="preserve">4170065118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22.36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70.959999999999994</v>
      </c>
      <c r="BM2310">
        <v>10.64</v>
      </c>
      <c r="BN2310">
        <v>81.599999999999994</v>
      </c>
      <c r="BO2310">
        <v>81.599999999999994</v>
      </c>
      <c r="BQ2310" t="s">
        <v>708</v>
      </c>
      <c r="BR2310" t="s">
        <v>97</v>
      </c>
      <c r="BS2310" s="3">
        <v>45952</v>
      </c>
      <c r="BT2310" s="4">
        <v>0.41388888888888886</v>
      </c>
      <c r="BU2310" t="s">
        <v>823</v>
      </c>
      <c r="BV2310" t="s">
        <v>86</v>
      </c>
      <c r="BY2310">
        <v>1200</v>
      </c>
      <c r="CA2310" t="s">
        <v>651</v>
      </c>
      <c r="CC2310" t="s">
        <v>122</v>
      </c>
      <c r="CD2310">
        <v>4001</v>
      </c>
      <c r="CE2310" t="s">
        <v>147</v>
      </c>
      <c r="CF2310" s="3">
        <v>45953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"080068646609"</f>
        <v>080068646609</v>
      </c>
      <c r="F2311" s="3">
        <v>45951</v>
      </c>
      <c r="G2311">
        <v>202607</v>
      </c>
      <c r="H2311" t="s">
        <v>79</v>
      </c>
      <c r="I2311" t="s">
        <v>80</v>
      </c>
      <c r="J2311" t="s">
        <v>91</v>
      </c>
      <c r="K2311" t="s">
        <v>78</v>
      </c>
      <c r="L2311" t="s">
        <v>271</v>
      </c>
      <c r="M2311" t="s">
        <v>272</v>
      </c>
      <c r="N2311" t="s">
        <v>2910</v>
      </c>
      <c r="O2311" t="s">
        <v>82</v>
      </c>
      <c r="P2311" t="str">
        <f>"4170065132                    "</f>
        <v xml:space="preserve">4170065132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17.46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55.42</v>
      </c>
      <c r="BM2311">
        <v>8.31</v>
      </c>
      <c r="BN2311">
        <v>63.73</v>
      </c>
      <c r="BO2311">
        <v>63.73</v>
      </c>
      <c r="BQ2311" t="s">
        <v>2911</v>
      </c>
      <c r="BR2311" t="s">
        <v>97</v>
      </c>
      <c r="BS2311" s="3">
        <v>45952</v>
      </c>
      <c r="BT2311" s="4">
        <v>0.39444444444444443</v>
      </c>
      <c r="BU2311" t="s">
        <v>2912</v>
      </c>
      <c r="BV2311" t="s">
        <v>86</v>
      </c>
      <c r="BY2311">
        <v>1200</v>
      </c>
      <c r="CA2311" t="s">
        <v>661</v>
      </c>
      <c r="CC2311" t="s">
        <v>272</v>
      </c>
      <c r="CD2311">
        <v>1428</v>
      </c>
      <c r="CE2311" t="s">
        <v>147</v>
      </c>
      <c r="CF2311" s="3">
        <v>45953</v>
      </c>
      <c r="CI2311">
        <v>1</v>
      </c>
      <c r="CJ2311">
        <v>1</v>
      </c>
      <c r="CK2311">
        <v>22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"080068646626"</f>
        <v>080068646626</v>
      </c>
      <c r="F2312" s="3">
        <v>45951</v>
      </c>
      <c r="G2312">
        <v>202607</v>
      </c>
      <c r="H2312" t="s">
        <v>79</v>
      </c>
      <c r="I2312" t="s">
        <v>80</v>
      </c>
      <c r="J2312" t="s">
        <v>91</v>
      </c>
      <c r="K2312" t="s">
        <v>78</v>
      </c>
      <c r="L2312" t="s">
        <v>102</v>
      </c>
      <c r="M2312" t="s">
        <v>103</v>
      </c>
      <c r="N2312" t="s">
        <v>2250</v>
      </c>
      <c r="O2312" t="s">
        <v>82</v>
      </c>
      <c r="P2312" t="str">
        <f>"4170065235                    "</f>
        <v xml:space="preserve">4170065235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17.46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55.42</v>
      </c>
      <c r="BM2312">
        <v>8.31</v>
      </c>
      <c r="BN2312">
        <v>63.73</v>
      </c>
      <c r="BO2312">
        <v>63.73</v>
      </c>
      <c r="BQ2312" t="s">
        <v>2251</v>
      </c>
      <c r="BR2312" t="s">
        <v>97</v>
      </c>
      <c r="BS2312" s="3">
        <v>45952</v>
      </c>
      <c r="BT2312" s="4">
        <v>0.40763888888888888</v>
      </c>
      <c r="BU2312" t="s">
        <v>2913</v>
      </c>
      <c r="BV2312" t="s">
        <v>86</v>
      </c>
      <c r="BY2312">
        <v>1200</v>
      </c>
      <c r="CA2312" t="s">
        <v>621</v>
      </c>
      <c r="CC2312" t="s">
        <v>103</v>
      </c>
      <c r="CD2312">
        <v>1451</v>
      </c>
      <c r="CE2312" t="s">
        <v>147</v>
      </c>
      <c r="CF2312" s="3">
        <v>45953</v>
      </c>
      <c r="CI2312">
        <v>1</v>
      </c>
      <c r="CJ2312">
        <v>1</v>
      </c>
      <c r="CK2312">
        <v>22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"080068646645"</f>
        <v>080068646645</v>
      </c>
      <c r="F2313" s="3">
        <v>45951</v>
      </c>
      <c r="G2313">
        <v>202607</v>
      </c>
      <c r="H2313" t="s">
        <v>79</v>
      </c>
      <c r="I2313" t="s">
        <v>80</v>
      </c>
      <c r="J2313" t="s">
        <v>91</v>
      </c>
      <c r="K2313" t="s">
        <v>78</v>
      </c>
      <c r="L2313" t="s">
        <v>763</v>
      </c>
      <c r="M2313" t="s">
        <v>764</v>
      </c>
      <c r="N2313" t="s">
        <v>765</v>
      </c>
      <c r="O2313" t="s">
        <v>82</v>
      </c>
      <c r="P2313" t="str">
        <f>"4170065175                    "</f>
        <v xml:space="preserve">4170065175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43.31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0.2</v>
      </c>
      <c r="BJ2313">
        <v>1.2</v>
      </c>
      <c r="BK2313">
        <v>1.5</v>
      </c>
      <c r="BL2313">
        <v>137.47</v>
      </c>
      <c r="BM2313">
        <v>20.62</v>
      </c>
      <c r="BN2313">
        <v>158.09</v>
      </c>
      <c r="BO2313">
        <v>158.09</v>
      </c>
      <c r="BQ2313" t="s">
        <v>766</v>
      </c>
      <c r="BR2313" t="s">
        <v>97</v>
      </c>
      <c r="BS2313" s="3">
        <v>45952</v>
      </c>
      <c r="BT2313" s="4">
        <v>0.4777777777777778</v>
      </c>
      <c r="BU2313" t="s">
        <v>2625</v>
      </c>
      <c r="BV2313" t="s">
        <v>86</v>
      </c>
      <c r="BY2313">
        <v>5882.5</v>
      </c>
      <c r="CA2313" t="s">
        <v>768</v>
      </c>
      <c r="CC2313" t="s">
        <v>764</v>
      </c>
      <c r="CD2313">
        <v>2531</v>
      </c>
      <c r="CE2313" t="s">
        <v>147</v>
      </c>
      <c r="CF2313" s="3">
        <v>45953</v>
      </c>
      <c r="CI2313">
        <v>1</v>
      </c>
      <c r="CJ2313">
        <v>1</v>
      </c>
      <c r="CK2313">
        <v>23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"080068646668"</f>
        <v>080068646668</v>
      </c>
      <c r="F2314" s="3">
        <v>45951</v>
      </c>
      <c r="G2314">
        <v>202607</v>
      </c>
      <c r="H2314" t="s">
        <v>79</v>
      </c>
      <c r="I2314" t="s">
        <v>80</v>
      </c>
      <c r="J2314" t="s">
        <v>91</v>
      </c>
      <c r="K2314" t="s">
        <v>78</v>
      </c>
      <c r="L2314" t="s">
        <v>959</v>
      </c>
      <c r="M2314" t="s">
        <v>960</v>
      </c>
      <c r="N2314" t="s">
        <v>961</v>
      </c>
      <c r="O2314" t="s">
        <v>95</v>
      </c>
      <c r="P2314" t="str">
        <f>"4170065144                    "</f>
        <v xml:space="preserve">4170065144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79.66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20.2</v>
      </c>
      <c r="BJ2314">
        <v>6.9</v>
      </c>
      <c r="BK2314">
        <v>21</v>
      </c>
      <c r="BL2314">
        <v>258.7</v>
      </c>
      <c r="BM2314">
        <v>38.81</v>
      </c>
      <c r="BN2314">
        <v>297.51</v>
      </c>
      <c r="BO2314">
        <v>297.51</v>
      </c>
      <c r="BQ2314" t="s">
        <v>962</v>
      </c>
      <c r="BR2314" t="s">
        <v>97</v>
      </c>
      <c r="BS2314" s="3">
        <v>45954</v>
      </c>
      <c r="BT2314" s="4">
        <v>0.48333333333333334</v>
      </c>
      <c r="BU2314" t="s">
        <v>2914</v>
      </c>
      <c r="BV2314" t="s">
        <v>86</v>
      </c>
      <c r="BY2314">
        <v>34663.199999999997</v>
      </c>
      <c r="CC2314" t="s">
        <v>960</v>
      </c>
      <c r="CD2314">
        <v>6300</v>
      </c>
      <c r="CE2314" t="s">
        <v>107</v>
      </c>
      <c r="CF2314" s="3">
        <v>45958</v>
      </c>
      <c r="CI2314">
        <v>4</v>
      </c>
      <c r="CJ2314">
        <v>3</v>
      </c>
      <c r="CK2314">
        <v>43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"080068646694"</f>
        <v>080068646694</v>
      </c>
      <c r="F2315" s="3">
        <v>45951</v>
      </c>
      <c r="G2315">
        <v>202607</v>
      </c>
      <c r="H2315" t="s">
        <v>79</v>
      </c>
      <c r="I2315" t="s">
        <v>80</v>
      </c>
      <c r="J2315" t="s">
        <v>91</v>
      </c>
      <c r="K2315" t="s">
        <v>78</v>
      </c>
      <c r="L2315" t="s">
        <v>884</v>
      </c>
      <c r="M2315" t="s">
        <v>885</v>
      </c>
      <c r="N2315" t="s">
        <v>886</v>
      </c>
      <c r="O2315" t="s">
        <v>95</v>
      </c>
      <c r="P2315" t="str">
        <f>"4170065258                    "</f>
        <v xml:space="preserve">4170065258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151.28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23.9</v>
      </c>
      <c r="BJ2315">
        <v>43.4</v>
      </c>
      <c r="BK2315">
        <v>44</v>
      </c>
      <c r="BL2315">
        <v>486.03</v>
      </c>
      <c r="BM2315">
        <v>72.900000000000006</v>
      </c>
      <c r="BN2315">
        <v>558.92999999999995</v>
      </c>
      <c r="BO2315">
        <v>558.92999999999995</v>
      </c>
      <c r="BQ2315" t="s">
        <v>887</v>
      </c>
      <c r="BR2315" t="s">
        <v>97</v>
      </c>
      <c r="BS2315" s="3">
        <v>45952</v>
      </c>
      <c r="BT2315" s="4">
        <v>0.30208333333333331</v>
      </c>
      <c r="BU2315" t="s">
        <v>888</v>
      </c>
      <c r="BV2315" t="s">
        <v>86</v>
      </c>
      <c r="BY2315">
        <v>217192.5</v>
      </c>
      <c r="CC2315" t="s">
        <v>885</v>
      </c>
      <c r="CD2315">
        <v>2740</v>
      </c>
      <c r="CE2315" t="s">
        <v>191</v>
      </c>
      <c r="CF2315" s="3">
        <v>45953</v>
      </c>
      <c r="CI2315">
        <v>1</v>
      </c>
      <c r="CJ2315">
        <v>1</v>
      </c>
      <c r="CK2315">
        <v>43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"080068646718"</f>
        <v>080068646718</v>
      </c>
      <c r="F2316" s="3">
        <v>45951</v>
      </c>
      <c r="G2316">
        <v>202607</v>
      </c>
      <c r="H2316" t="s">
        <v>79</v>
      </c>
      <c r="I2316" t="s">
        <v>80</v>
      </c>
      <c r="J2316" t="s">
        <v>91</v>
      </c>
      <c r="K2316" t="s">
        <v>78</v>
      </c>
      <c r="L2316" t="s">
        <v>168</v>
      </c>
      <c r="M2316" t="s">
        <v>169</v>
      </c>
      <c r="N2316" t="s">
        <v>2915</v>
      </c>
      <c r="O2316" t="s">
        <v>95</v>
      </c>
      <c r="P2316" t="str">
        <f>"4170065134                    "</f>
        <v xml:space="preserve">4170065134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75.36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14.9</v>
      </c>
      <c r="BJ2316">
        <v>33</v>
      </c>
      <c r="BK2316">
        <v>33</v>
      </c>
      <c r="BL2316">
        <v>245.05</v>
      </c>
      <c r="BM2316">
        <v>36.76</v>
      </c>
      <c r="BN2316">
        <v>281.81</v>
      </c>
      <c r="BO2316">
        <v>281.81</v>
      </c>
      <c r="BQ2316" t="s">
        <v>2916</v>
      </c>
      <c r="BR2316" t="s">
        <v>97</v>
      </c>
      <c r="BS2316" s="3">
        <v>45952</v>
      </c>
      <c r="BT2316" s="4">
        <v>0.47222222222222221</v>
      </c>
      <c r="BU2316" t="s">
        <v>2917</v>
      </c>
      <c r="BV2316" t="s">
        <v>86</v>
      </c>
      <c r="BY2316">
        <v>165095.84</v>
      </c>
      <c r="CA2316">
        <v>8303236124087</v>
      </c>
      <c r="CC2316" t="s">
        <v>169</v>
      </c>
      <c r="CD2316" s="5" t="s">
        <v>190</v>
      </c>
      <c r="CE2316" t="s">
        <v>191</v>
      </c>
      <c r="CF2316" s="3">
        <v>45952</v>
      </c>
      <c r="CI2316">
        <v>1</v>
      </c>
      <c r="CJ2316">
        <v>1</v>
      </c>
      <c r="CK2316">
        <v>41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"080068646737"</f>
        <v>080068646737</v>
      </c>
      <c r="F2317" s="3">
        <v>45951</v>
      </c>
      <c r="G2317">
        <v>202607</v>
      </c>
      <c r="H2317" t="s">
        <v>79</v>
      </c>
      <c r="I2317" t="s">
        <v>80</v>
      </c>
      <c r="J2317" t="s">
        <v>91</v>
      </c>
      <c r="K2317" t="s">
        <v>78</v>
      </c>
      <c r="L2317" t="s">
        <v>168</v>
      </c>
      <c r="M2317" t="s">
        <v>169</v>
      </c>
      <c r="N2317" t="s">
        <v>584</v>
      </c>
      <c r="O2317" t="s">
        <v>95</v>
      </c>
      <c r="P2317" t="str">
        <f>"4170065252                    "</f>
        <v xml:space="preserve">4170065252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43.23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5.3</v>
      </c>
      <c r="BJ2317">
        <v>2.4</v>
      </c>
      <c r="BK2317">
        <v>6</v>
      </c>
      <c r="BL2317">
        <v>143.08000000000001</v>
      </c>
      <c r="BM2317">
        <v>21.46</v>
      </c>
      <c r="BN2317">
        <v>164.54</v>
      </c>
      <c r="BO2317">
        <v>164.54</v>
      </c>
      <c r="BQ2317" t="s">
        <v>585</v>
      </c>
      <c r="BR2317" t="s">
        <v>97</v>
      </c>
      <c r="BS2317" s="3">
        <v>45952</v>
      </c>
      <c r="BT2317" s="4">
        <v>0.49861111111111112</v>
      </c>
      <c r="BU2317" t="s">
        <v>1159</v>
      </c>
      <c r="BV2317" t="s">
        <v>86</v>
      </c>
      <c r="BY2317">
        <v>12152.97</v>
      </c>
      <c r="CA2317">
        <v>8303236124087</v>
      </c>
      <c r="CC2317" t="s">
        <v>169</v>
      </c>
      <c r="CD2317" s="5" t="s">
        <v>190</v>
      </c>
      <c r="CE2317" t="s">
        <v>107</v>
      </c>
      <c r="CF2317" s="3">
        <v>45952</v>
      </c>
      <c r="CI2317">
        <v>1</v>
      </c>
      <c r="CJ2317">
        <v>1</v>
      </c>
      <c r="CK2317">
        <v>41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"080068646751"</f>
        <v>080068646751</v>
      </c>
      <c r="F2318" s="3">
        <v>45951</v>
      </c>
      <c r="G2318">
        <v>202607</v>
      </c>
      <c r="H2318" t="s">
        <v>79</v>
      </c>
      <c r="I2318" t="s">
        <v>80</v>
      </c>
      <c r="J2318" t="s">
        <v>91</v>
      </c>
      <c r="K2318" t="s">
        <v>78</v>
      </c>
      <c r="L2318" t="s">
        <v>206</v>
      </c>
      <c r="M2318" t="s">
        <v>207</v>
      </c>
      <c r="N2318" t="s">
        <v>361</v>
      </c>
      <c r="O2318" t="s">
        <v>82</v>
      </c>
      <c r="P2318" t="str">
        <f>"4170065059                    "</f>
        <v xml:space="preserve">4170065059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39.11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3.4</v>
      </c>
      <c r="BK2318">
        <v>3.5</v>
      </c>
      <c r="BL2318">
        <v>124.13</v>
      </c>
      <c r="BM2318">
        <v>18.62</v>
      </c>
      <c r="BN2318">
        <v>142.75</v>
      </c>
      <c r="BO2318">
        <v>142.75</v>
      </c>
      <c r="BQ2318" t="s">
        <v>362</v>
      </c>
      <c r="BR2318" t="s">
        <v>97</v>
      </c>
      <c r="BS2318" s="3">
        <v>45952</v>
      </c>
      <c r="BT2318" s="4">
        <v>0.43472222222222223</v>
      </c>
      <c r="BU2318" t="s">
        <v>2913</v>
      </c>
      <c r="BV2318" t="s">
        <v>86</v>
      </c>
      <c r="BY2318">
        <v>16965</v>
      </c>
      <c r="CA2318" t="s">
        <v>364</v>
      </c>
      <c r="CC2318" t="s">
        <v>207</v>
      </c>
      <c r="CD2318">
        <v>7535</v>
      </c>
      <c r="CE2318" t="s">
        <v>191</v>
      </c>
      <c r="CF2318" s="3">
        <v>45953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"080068646752"</f>
        <v>080068646752</v>
      </c>
      <c r="F2319" s="3">
        <v>45951</v>
      </c>
      <c r="G2319">
        <v>202607</v>
      </c>
      <c r="H2319" t="s">
        <v>79</v>
      </c>
      <c r="I2319" t="s">
        <v>80</v>
      </c>
      <c r="J2319" t="s">
        <v>91</v>
      </c>
      <c r="K2319" t="s">
        <v>78</v>
      </c>
      <c r="L2319" t="s">
        <v>108</v>
      </c>
      <c r="M2319" t="s">
        <v>109</v>
      </c>
      <c r="N2319" t="s">
        <v>1203</v>
      </c>
      <c r="O2319" t="s">
        <v>82</v>
      </c>
      <c r="P2319" t="str">
        <f>"4170065227                    "</f>
        <v xml:space="preserve">4170065227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22.36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70.959999999999994</v>
      </c>
      <c r="BM2319">
        <v>10.64</v>
      </c>
      <c r="BN2319">
        <v>81.599999999999994</v>
      </c>
      <c r="BO2319">
        <v>81.599999999999994</v>
      </c>
      <c r="BQ2319" t="s">
        <v>1204</v>
      </c>
      <c r="BR2319" t="s">
        <v>97</v>
      </c>
      <c r="BS2319" s="3">
        <v>45952</v>
      </c>
      <c r="BT2319" s="4">
        <v>0.38680555555555557</v>
      </c>
      <c r="BU2319" t="s">
        <v>2918</v>
      </c>
      <c r="BV2319" t="s">
        <v>86</v>
      </c>
      <c r="BY2319">
        <v>1200</v>
      </c>
      <c r="CA2319" t="s">
        <v>1090</v>
      </c>
      <c r="CC2319" t="s">
        <v>109</v>
      </c>
      <c r="CD2319">
        <v>6012</v>
      </c>
      <c r="CE2319" t="s">
        <v>147</v>
      </c>
      <c r="CF2319" s="3">
        <v>45952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"080068646769"</f>
        <v>080068646769</v>
      </c>
      <c r="F2320" s="3">
        <v>45951</v>
      </c>
      <c r="G2320">
        <v>202607</v>
      </c>
      <c r="H2320" t="s">
        <v>79</v>
      </c>
      <c r="I2320" t="s">
        <v>80</v>
      </c>
      <c r="J2320" t="s">
        <v>91</v>
      </c>
      <c r="K2320" t="s">
        <v>78</v>
      </c>
      <c r="L2320" t="s">
        <v>333</v>
      </c>
      <c r="M2320" t="s">
        <v>334</v>
      </c>
      <c r="N2320" t="s">
        <v>794</v>
      </c>
      <c r="O2320" t="s">
        <v>82</v>
      </c>
      <c r="P2320" t="str">
        <f>"4170065149                    "</f>
        <v xml:space="preserve">4170065149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22.36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1.1000000000000001</v>
      </c>
      <c r="BK2320">
        <v>1.5</v>
      </c>
      <c r="BL2320">
        <v>70.959999999999994</v>
      </c>
      <c r="BM2320">
        <v>10.64</v>
      </c>
      <c r="BN2320">
        <v>81.599999999999994</v>
      </c>
      <c r="BO2320">
        <v>81.599999999999994</v>
      </c>
      <c r="BQ2320" t="s">
        <v>795</v>
      </c>
      <c r="BR2320" t="s">
        <v>97</v>
      </c>
      <c r="BS2320" s="3">
        <v>45952</v>
      </c>
      <c r="BT2320" s="4">
        <v>0.42777777777777776</v>
      </c>
      <c r="BU2320" t="s">
        <v>796</v>
      </c>
      <c r="BV2320" t="s">
        <v>86</v>
      </c>
      <c r="BY2320">
        <v>5510</v>
      </c>
      <c r="CA2320" t="s">
        <v>142</v>
      </c>
      <c r="CC2320" t="s">
        <v>334</v>
      </c>
      <c r="CD2320">
        <v>6220</v>
      </c>
      <c r="CE2320" t="s">
        <v>191</v>
      </c>
      <c r="CF2320" s="3">
        <v>45952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"080068646785"</f>
        <v>080068646785</v>
      </c>
      <c r="F2321" s="3">
        <v>45951</v>
      </c>
      <c r="G2321">
        <v>202607</v>
      </c>
      <c r="H2321" t="s">
        <v>79</v>
      </c>
      <c r="I2321" t="s">
        <v>80</v>
      </c>
      <c r="J2321" t="s">
        <v>91</v>
      </c>
      <c r="K2321" t="s">
        <v>78</v>
      </c>
      <c r="L2321" t="s">
        <v>148</v>
      </c>
      <c r="M2321" t="s">
        <v>149</v>
      </c>
      <c r="N2321" t="s">
        <v>2519</v>
      </c>
      <c r="O2321" t="s">
        <v>226</v>
      </c>
      <c r="P2321" t="str">
        <f>"4170064859                    "</f>
        <v xml:space="preserve">4170064859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17.47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1.9</v>
      </c>
      <c r="BJ2321">
        <v>3.4</v>
      </c>
      <c r="BK2321">
        <v>4</v>
      </c>
      <c r="BL2321">
        <v>55.44</v>
      </c>
      <c r="BM2321">
        <v>8.32</v>
      </c>
      <c r="BN2321">
        <v>63.76</v>
      </c>
      <c r="BO2321">
        <v>63.76</v>
      </c>
      <c r="BQ2321" t="s">
        <v>2520</v>
      </c>
      <c r="BR2321" t="s">
        <v>97</v>
      </c>
      <c r="BS2321" s="3">
        <v>45952</v>
      </c>
      <c r="BT2321" s="4">
        <v>0.36249999999999999</v>
      </c>
      <c r="BU2321" t="s">
        <v>2919</v>
      </c>
      <c r="BV2321" t="s">
        <v>86</v>
      </c>
      <c r="BY2321">
        <v>17198.099999999999</v>
      </c>
      <c r="CA2321" t="s">
        <v>2853</v>
      </c>
      <c r="CC2321" t="s">
        <v>149</v>
      </c>
      <c r="CD2321">
        <v>2094</v>
      </c>
      <c r="CE2321" t="s">
        <v>191</v>
      </c>
      <c r="CF2321" s="3">
        <v>45953</v>
      </c>
      <c r="CI2321">
        <v>1</v>
      </c>
      <c r="CJ2321">
        <v>1</v>
      </c>
      <c r="CK2321">
        <v>32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"080068646807"</f>
        <v>080068646807</v>
      </c>
      <c r="F2322" s="3">
        <v>45951</v>
      </c>
      <c r="G2322">
        <v>202607</v>
      </c>
      <c r="H2322" t="s">
        <v>79</v>
      </c>
      <c r="I2322" t="s">
        <v>80</v>
      </c>
      <c r="J2322" t="s">
        <v>91</v>
      </c>
      <c r="K2322" t="s">
        <v>78</v>
      </c>
      <c r="L2322" t="s">
        <v>223</v>
      </c>
      <c r="M2322" t="s">
        <v>224</v>
      </c>
      <c r="N2322" t="s">
        <v>570</v>
      </c>
      <c r="O2322" t="s">
        <v>82</v>
      </c>
      <c r="P2322" t="str">
        <f>"4170064826                    "</f>
        <v xml:space="preserve">4170064826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17.46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2</v>
      </c>
      <c r="BJ2322">
        <v>0.9</v>
      </c>
      <c r="BK2322">
        <v>2</v>
      </c>
      <c r="BL2322">
        <v>55.42</v>
      </c>
      <c r="BM2322">
        <v>8.31</v>
      </c>
      <c r="BN2322">
        <v>63.73</v>
      </c>
      <c r="BO2322">
        <v>63.73</v>
      </c>
      <c r="BQ2322" t="s">
        <v>571</v>
      </c>
      <c r="BR2322" t="s">
        <v>97</v>
      </c>
      <c r="BS2322" s="3">
        <v>45952</v>
      </c>
      <c r="BT2322" s="4">
        <v>0.41111111111111109</v>
      </c>
      <c r="BU2322" t="s">
        <v>2920</v>
      </c>
      <c r="BV2322" t="s">
        <v>86</v>
      </c>
      <c r="BY2322">
        <v>4595.13</v>
      </c>
      <c r="CA2322" t="s">
        <v>1110</v>
      </c>
      <c r="CC2322" t="s">
        <v>224</v>
      </c>
      <c r="CD2322">
        <v>1459</v>
      </c>
      <c r="CE2322" t="s">
        <v>191</v>
      </c>
      <c r="CF2322" s="3">
        <v>45952</v>
      </c>
      <c r="CI2322">
        <v>1</v>
      </c>
      <c r="CJ2322">
        <v>1</v>
      </c>
      <c r="CK2322">
        <v>22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"080068646821"</f>
        <v>080068646821</v>
      </c>
      <c r="F2323" s="3">
        <v>45951</v>
      </c>
      <c r="G2323">
        <v>202607</v>
      </c>
      <c r="H2323" t="s">
        <v>79</v>
      </c>
      <c r="I2323" t="s">
        <v>80</v>
      </c>
      <c r="J2323" t="s">
        <v>91</v>
      </c>
      <c r="K2323" t="s">
        <v>78</v>
      </c>
      <c r="L2323" t="s">
        <v>233</v>
      </c>
      <c r="M2323" t="s">
        <v>234</v>
      </c>
      <c r="N2323" t="s">
        <v>908</v>
      </c>
      <c r="O2323" t="s">
        <v>82</v>
      </c>
      <c r="P2323" t="str">
        <f>"4170065241                    "</f>
        <v xml:space="preserve">4170065241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22.36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0.5</v>
      </c>
      <c r="BJ2323">
        <v>1.3</v>
      </c>
      <c r="BK2323">
        <v>1.5</v>
      </c>
      <c r="BL2323">
        <v>70.959999999999994</v>
      </c>
      <c r="BM2323">
        <v>10.64</v>
      </c>
      <c r="BN2323">
        <v>81.599999999999994</v>
      </c>
      <c r="BO2323">
        <v>81.599999999999994</v>
      </c>
      <c r="BQ2323" t="s">
        <v>909</v>
      </c>
      <c r="BR2323" t="s">
        <v>97</v>
      </c>
      <c r="BS2323" s="3">
        <v>45952</v>
      </c>
      <c r="BT2323" s="4">
        <v>0.36736111111111114</v>
      </c>
      <c r="BU2323" t="s">
        <v>2162</v>
      </c>
      <c r="BV2323" t="s">
        <v>86</v>
      </c>
      <c r="BY2323">
        <v>6375.6</v>
      </c>
      <c r="CA2323">
        <v>7712195338085</v>
      </c>
      <c r="CC2323" t="s">
        <v>234</v>
      </c>
      <c r="CD2323" s="5" t="s">
        <v>238</v>
      </c>
      <c r="CE2323" t="s">
        <v>191</v>
      </c>
      <c r="CF2323" s="3">
        <v>45952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"080068646833"</f>
        <v>080068646833</v>
      </c>
      <c r="F2324" s="3">
        <v>45951</v>
      </c>
      <c r="G2324">
        <v>202607</v>
      </c>
      <c r="H2324" t="s">
        <v>79</v>
      </c>
      <c r="I2324" t="s">
        <v>80</v>
      </c>
      <c r="J2324" t="s">
        <v>91</v>
      </c>
      <c r="K2324" t="s">
        <v>78</v>
      </c>
      <c r="L2324" t="s">
        <v>148</v>
      </c>
      <c r="M2324" t="s">
        <v>149</v>
      </c>
      <c r="N2324" t="s">
        <v>465</v>
      </c>
      <c r="O2324" t="s">
        <v>82</v>
      </c>
      <c r="P2324" t="str">
        <f>"4170064860                    "</f>
        <v xml:space="preserve">4170064860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17.46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1.6</v>
      </c>
      <c r="BJ2324">
        <v>0.9</v>
      </c>
      <c r="BK2324">
        <v>2</v>
      </c>
      <c r="BL2324">
        <v>55.42</v>
      </c>
      <c r="BM2324">
        <v>8.31</v>
      </c>
      <c r="BN2324">
        <v>63.73</v>
      </c>
      <c r="BO2324">
        <v>63.73</v>
      </c>
      <c r="BQ2324" t="s">
        <v>466</v>
      </c>
      <c r="BR2324" t="s">
        <v>97</v>
      </c>
      <c r="BS2324" s="3">
        <v>45952</v>
      </c>
      <c r="BT2324" s="4">
        <v>0.40555555555555556</v>
      </c>
      <c r="BU2324" t="s">
        <v>1536</v>
      </c>
      <c r="BV2324" t="s">
        <v>86</v>
      </c>
      <c r="BY2324">
        <v>4575.3</v>
      </c>
      <c r="CA2324" t="s">
        <v>2853</v>
      </c>
      <c r="CC2324" t="s">
        <v>149</v>
      </c>
      <c r="CD2324">
        <v>2094</v>
      </c>
      <c r="CE2324" t="s">
        <v>191</v>
      </c>
      <c r="CF2324" s="3">
        <v>45953</v>
      </c>
      <c r="CI2324">
        <v>1</v>
      </c>
      <c r="CJ2324">
        <v>1</v>
      </c>
      <c r="CK2324">
        <v>22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"080068646836"</f>
        <v>080068646836</v>
      </c>
      <c r="F2325" s="3">
        <v>45951</v>
      </c>
      <c r="G2325">
        <v>202607</v>
      </c>
      <c r="H2325" t="s">
        <v>79</v>
      </c>
      <c r="I2325" t="s">
        <v>80</v>
      </c>
      <c r="J2325" t="s">
        <v>91</v>
      </c>
      <c r="K2325" t="s">
        <v>78</v>
      </c>
      <c r="L2325" t="s">
        <v>218</v>
      </c>
      <c r="M2325" t="s">
        <v>219</v>
      </c>
      <c r="N2325" t="s">
        <v>2921</v>
      </c>
      <c r="O2325" t="s">
        <v>82</v>
      </c>
      <c r="P2325" t="str">
        <f>"4170065170                    "</f>
        <v xml:space="preserve">4170065170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17.46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55.42</v>
      </c>
      <c r="BM2325">
        <v>8.31</v>
      </c>
      <c r="BN2325">
        <v>63.73</v>
      </c>
      <c r="BO2325">
        <v>63.73</v>
      </c>
      <c r="BQ2325" t="s">
        <v>2922</v>
      </c>
      <c r="BR2325" t="s">
        <v>97</v>
      </c>
      <c r="BS2325" s="3">
        <v>45952</v>
      </c>
      <c r="BT2325" s="4">
        <v>0.32569444444444445</v>
      </c>
      <c r="BU2325" t="s">
        <v>2923</v>
      </c>
      <c r="BV2325" t="s">
        <v>86</v>
      </c>
      <c r="BY2325">
        <v>1200</v>
      </c>
      <c r="CA2325" t="s">
        <v>1434</v>
      </c>
      <c r="CC2325" t="s">
        <v>219</v>
      </c>
      <c r="CD2325">
        <v>1559</v>
      </c>
      <c r="CE2325" t="s">
        <v>147</v>
      </c>
      <c r="CF2325" s="3">
        <v>45952</v>
      </c>
      <c r="CI2325">
        <v>1</v>
      </c>
      <c r="CJ2325">
        <v>1</v>
      </c>
      <c r="CK2325">
        <v>22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"080068646846"</f>
        <v>080068646846</v>
      </c>
      <c r="F2326" s="3">
        <v>45951</v>
      </c>
      <c r="G2326">
        <v>202607</v>
      </c>
      <c r="H2326" t="s">
        <v>79</v>
      </c>
      <c r="I2326" t="s">
        <v>80</v>
      </c>
      <c r="J2326" t="s">
        <v>91</v>
      </c>
      <c r="K2326" t="s">
        <v>78</v>
      </c>
      <c r="L2326" t="s">
        <v>763</v>
      </c>
      <c r="M2326" t="s">
        <v>764</v>
      </c>
      <c r="N2326" t="s">
        <v>765</v>
      </c>
      <c r="O2326" t="s">
        <v>82</v>
      </c>
      <c r="P2326" t="str">
        <f>"4170065242                    "</f>
        <v xml:space="preserve">4170065242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43.31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137.47</v>
      </c>
      <c r="BM2326">
        <v>20.62</v>
      </c>
      <c r="BN2326">
        <v>158.09</v>
      </c>
      <c r="BO2326">
        <v>158.09</v>
      </c>
      <c r="BQ2326" t="s">
        <v>766</v>
      </c>
      <c r="BR2326" t="s">
        <v>97</v>
      </c>
      <c r="BS2326" s="3">
        <v>45952</v>
      </c>
      <c r="BT2326" s="4">
        <v>0.4777777777777778</v>
      </c>
      <c r="BU2326" t="s">
        <v>2625</v>
      </c>
      <c r="BV2326" t="s">
        <v>86</v>
      </c>
      <c r="BY2326">
        <v>1200</v>
      </c>
      <c r="CA2326" t="s">
        <v>768</v>
      </c>
      <c r="CC2326" t="s">
        <v>764</v>
      </c>
      <c r="CD2326">
        <v>2531</v>
      </c>
      <c r="CE2326" t="s">
        <v>147</v>
      </c>
      <c r="CF2326" s="3">
        <v>45953</v>
      </c>
      <c r="CI2326">
        <v>1</v>
      </c>
      <c r="CJ2326">
        <v>1</v>
      </c>
      <c r="CK2326">
        <v>23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"080068646853"</f>
        <v>080068646853</v>
      </c>
      <c r="F2327" s="3">
        <v>45951</v>
      </c>
      <c r="G2327">
        <v>202607</v>
      </c>
      <c r="H2327" t="s">
        <v>79</v>
      </c>
      <c r="I2327" t="s">
        <v>80</v>
      </c>
      <c r="J2327" t="s">
        <v>91</v>
      </c>
      <c r="K2327" t="s">
        <v>78</v>
      </c>
      <c r="L2327" t="s">
        <v>809</v>
      </c>
      <c r="M2327" t="s">
        <v>810</v>
      </c>
      <c r="N2327" t="s">
        <v>1353</v>
      </c>
      <c r="O2327" t="s">
        <v>82</v>
      </c>
      <c r="P2327" t="str">
        <f>"4170065244                    "</f>
        <v xml:space="preserve">4170065244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17.46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1.5</v>
      </c>
      <c r="BJ2327">
        <v>1.1000000000000001</v>
      </c>
      <c r="BK2327">
        <v>2</v>
      </c>
      <c r="BL2327">
        <v>55.42</v>
      </c>
      <c r="BM2327">
        <v>8.31</v>
      </c>
      <c r="BN2327">
        <v>63.73</v>
      </c>
      <c r="BO2327">
        <v>63.73</v>
      </c>
      <c r="BQ2327" t="s">
        <v>1354</v>
      </c>
      <c r="BR2327" t="s">
        <v>97</v>
      </c>
      <c r="BS2327" s="3">
        <v>45952</v>
      </c>
      <c r="BT2327" s="4">
        <v>0.35069444444444442</v>
      </c>
      <c r="BU2327" t="s">
        <v>2924</v>
      </c>
      <c r="BV2327" t="s">
        <v>86</v>
      </c>
      <c r="BY2327">
        <v>5444.64</v>
      </c>
      <c r="CA2327" t="s">
        <v>1356</v>
      </c>
      <c r="CC2327" t="s">
        <v>810</v>
      </c>
      <c r="CD2327">
        <v>1724</v>
      </c>
      <c r="CE2327" t="s">
        <v>191</v>
      </c>
      <c r="CF2327" s="3">
        <v>45952</v>
      </c>
      <c r="CI2327">
        <v>1</v>
      </c>
      <c r="CJ2327">
        <v>1</v>
      </c>
      <c r="CK2327">
        <v>22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"080068646864"</f>
        <v>080068646864</v>
      </c>
      <c r="F2328" s="3">
        <v>45951</v>
      </c>
      <c r="G2328">
        <v>202607</v>
      </c>
      <c r="H2328" t="s">
        <v>79</v>
      </c>
      <c r="I2328" t="s">
        <v>80</v>
      </c>
      <c r="J2328" t="s">
        <v>91</v>
      </c>
      <c r="K2328" t="s">
        <v>78</v>
      </c>
      <c r="L2328" t="s">
        <v>350</v>
      </c>
      <c r="M2328" t="s">
        <v>351</v>
      </c>
      <c r="N2328" t="s">
        <v>2636</v>
      </c>
      <c r="O2328" t="s">
        <v>82</v>
      </c>
      <c r="P2328" t="str">
        <f>"4170065251                    "</f>
        <v xml:space="preserve">4170065251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43.31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0.9</v>
      </c>
      <c r="BJ2328">
        <v>0.6</v>
      </c>
      <c r="BK2328">
        <v>1</v>
      </c>
      <c r="BL2328">
        <v>137.47</v>
      </c>
      <c r="BM2328">
        <v>20.62</v>
      </c>
      <c r="BN2328">
        <v>158.09</v>
      </c>
      <c r="BO2328">
        <v>158.09</v>
      </c>
      <c r="BQ2328" t="s">
        <v>2637</v>
      </c>
      <c r="BR2328" t="s">
        <v>97</v>
      </c>
      <c r="BS2328" s="3">
        <v>45952</v>
      </c>
      <c r="BT2328" s="4">
        <v>0.40763888888888888</v>
      </c>
      <c r="BU2328" t="s">
        <v>2638</v>
      </c>
      <c r="BV2328" t="s">
        <v>86</v>
      </c>
      <c r="BY2328">
        <v>2852.7</v>
      </c>
      <c r="CA2328" t="s">
        <v>2097</v>
      </c>
      <c r="CC2328" t="s">
        <v>351</v>
      </c>
      <c r="CD2328" s="5" t="s">
        <v>356</v>
      </c>
      <c r="CE2328" t="s">
        <v>191</v>
      </c>
      <c r="CF2328" s="3">
        <v>45953</v>
      </c>
      <c r="CI2328">
        <v>1</v>
      </c>
      <c r="CJ2328">
        <v>1</v>
      </c>
      <c r="CK2328">
        <v>23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"080068646883"</f>
        <v>080068646883</v>
      </c>
      <c r="F2329" s="3">
        <v>45951</v>
      </c>
      <c r="G2329">
        <v>202607</v>
      </c>
      <c r="H2329" t="s">
        <v>79</v>
      </c>
      <c r="I2329" t="s">
        <v>80</v>
      </c>
      <c r="J2329" t="s">
        <v>91</v>
      </c>
      <c r="K2329" t="s">
        <v>78</v>
      </c>
      <c r="L2329" t="s">
        <v>884</v>
      </c>
      <c r="M2329" t="s">
        <v>885</v>
      </c>
      <c r="N2329" t="s">
        <v>886</v>
      </c>
      <c r="O2329" t="s">
        <v>82</v>
      </c>
      <c r="P2329" t="str">
        <f>"4170065201                    "</f>
        <v xml:space="preserve">4170065201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43.31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2</v>
      </c>
      <c r="BJ2329">
        <v>0.9</v>
      </c>
      <c r="BK2329">
        <v>2</v>
      </c>
      <c r="BL2329">
        <v>137.47</v>
      </c>
      <c r="BM2329">
        <v>20.62</v>
      </c>
      <c r="BN2329">
        <v>158.09</v>
      </c>
      <c r="BO2329">
        <v>158.09</v>
      </c>
      <c r="BQ2329" t="s">
        <v>887</v>
      </c>
      <c r="BR2329" t="s">
        <v>97</v>
      </c>
      <c r="BS2329" s="3">
        <v>45952</v>
      </c>
      <c r="BT2329" s="4">
        <v>0.30208333333333331</v>
      </c>
      <c r="BU2329" t="s">
        <v>888</v>
      </c>
      <c r="BV2329" t="s">
        <v>86</v>
      </c>
      <c r="BY2329">
        <v>4275</v>
      </c>
      <c r="CC2329" t="s">
        <v>885</v>
      </c>
      <c r="CD2329">
        <v>2740</v>
      </c>
      <c r="CE2329" t="s">
        <v>191</v>
      </c>
      <c r="CF2329" s="3">
        <v>45953</v>
      </c>
      <c r="CI2329">
        <v>1</v>
      </c>
      <c r="CJ2329">
        <v>1</v>
      </c>
      <c r="CK2329">
        <v>23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"080068646900"</f>
        <v>080068646900</v>
      </c>
      <c r="F2330" s="3">
        <v>45951</v>
      </c>
      <c r="G2330">
        <v>202607</v>
      </c>
      <c r="H2330" t="s">
        <v>79</v>
      </c>
      <c r="I2330" t="s">
        <v>80</v>
      </c>
      <c r="J2330" t="s">
        <v>91</v>
      </c>
      <c r="K2330" t="s">
        <v>78</v>
      </c>
      <c r="L2330" t="s">
        <v>114</v>
      </c>
      <c r="M2330" t="s">
        <v>115</v>
      </c>
      <c r="N2330" t="s">
        <v>746</v>
      </c>
      <c r="O2330" t="s">
        <v>82</v>
      </c>
      <c r="P2330" t="str">
        <f>"4170064856                    "</f>
        <v xml:space="preserve">4170064856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67.03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6</v>
      </c>
      <c r="BJ2330">
        <v>2</v>
      </c>
      <c r="BK2330">
        <v>6</v>
      </c>
      <c r="BL2330">
        <v>212.75</v>
      </c>
      <c r="BM2330">
        <v>31.91</v>
      </c>
      <c r="BN2330">
        <v>244.66</v>
      </c>
      <c r="BO2330">
        <v>244.66</v>
      </c>
      <c r="BQ2330" t="s">
        <v>747</v>
      </c>
      <c r="BR2330" t="s">
        <v>97</v>
      </c>
      <c r="BS2330" s="3">
        <v>45952</v>
      </c>
      <c r="BT2330" s="4">
        <v>0.51041666666666663</v>
      </c>
      <c r="BU2330" t="s">
        <v>2770</v>
      </c>
      <c r="BV2330" t="s">
        <v>90</v>
      </c>
      <c r="BY2330">
        <v>9918</v>
      </c>
      <c r="CA2330" t="s">
        <v>749</v>
      </c>
      <c r="CC2330" t="s">
        <v>115</v>
      </c>
      <c r="CD2330">
        <v>5200</v>
      </c>
      <c r="CE2330" t="s">
        <v>191</v>
      </c>
      <c r="CF2330" s="3">
        <v>45953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"080068646931"</f>
        <v>080068646931</v>
      </c>
      <c r="F2331" s="3">
        <v>45951</v>
      </c>
      <c r="G2331">
        <v>202607</v>
      </c>
      <c r="H2331" t="s">
        <v>79</v>
      </c>
      <c r="I2331" t="s">
        <v>80</v>
      </c>
      <c r="J2331" t="s">
        <v>91</v>
      </c>
      <c r="K2331" t="s">
        <v>78</v>
      </c>
      <c r="L2331" t="s">
        <v>2063</v>
      </c>
      <c r="M2331" t="s">
        <v>2064</v>
      </c>
      <c r="N2331" t="s">
        <v>2925</v>
      </c>
      <c r="O2331" t="s">
        <v>95</v>
      </c>
      <c r="P2331" t="str">
        <f>"4170065164                    "</f>
        <v xml:space="preserve">4170065164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108.83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2</v>
      </c>
      <c r="BI2331">
        <v>21</v>
      </c>
      <c r="BJ2331">
        <v>63.2</v>
      </c>
      <c r="BK2331">
        <v>64</v>
      </c>
      <c r="BL2331">
        <v>351.28</v>
      </c>
      <c r="BM2331">
        <v>52.69</v>
      </c>
      <c r="BN2331">
        <v>403.97</v>
      </c>
      <c r="BO2331">
        <v>403.97</v>
      </c>
      <c r="BQ2331" t="s">
        <v>2926</v>
      </c>
      <c r="BR2331" t="s">
        <v>97</v>
      </c>
      <c r="BS2331" s="3">
        <v>45952</v>
      </c>
      <c r="BT2331" s="4">
        <v>0.43055555555555558</v>
      </c>
      <c r="BU2331" t="s">
        <v>2927</v>
      </c>
      <c r="BV2331" t="s">
        <v>86</v>
      </c>
      <c r="BY2331">
        <v>315840</v>
      </c>
      <c r="CA2331" t="s">
        <v>2928</v>
      </c>
      <c r="CC2331" t="s">
        <v>2064</v>
      </c>
      <c r="CD2331">
        <v>1779</v>
      </c>
      <c r="CE2331" t="s">
        <v>191</v>
      </c>
      <c r="CF2331" s="3">
        <v>45952</v>
      </c>
      <c r="CI2331">
        <v>1</v>
      </c>
      <c r="CJ2331">
        <v>1</v>
      </c>
      <c r="CK2331">
        <v>44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"080068647142"</f>
        <v>080068647142</v>
      </c>
      <c r="F2332" s="3">
        <v>45951</v>
      </c>
      <c r="G2332">
        <v>202607</v>
      </c>
      <c r="H2332" t="s">
        <v>79</v>
      </c>
      <c r="I2332" t="s">
        <v>80</v>
      </c>
      <c r="J2332" t="s">
        <v>91</v>
      </c>
      <c r="K2332" t="s">
        <v>78</v>
      </c>
      <c r="L2332" t="s">
        <v>333</v>
      </c>
      <c r="M2332" t="s">
        <v>334</v>
      </c>
      <c r="N2332" t="s">
        <v>335</v>
      </c>
      <c r="O2332" t="s">
        <v>95</v>
      </c>
      <c r="P2332" t="str">
        <f>"4170065032                    "</f>
        <v xml:space="preserve">4170065032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77.14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11.5</v>
      </c>
      <c r="BJ2332">
        <v>33.299999999999997</v>
      </c>
      <c r="BK2332">
        <v>34</v>
      </c>
      <c r="BL2332">
        <v>250.71</v>
      </c>
      <c r="BM2332">
        <v>37.61</v>
      </c>
      <c r="BN2332">
        <v>288.32</v>
      </c>
      <c r="BO2332">
        <v>288.32</v>
      </c>
      <c r="BQ2332" t="s">
        <v>336</v>
      </c>
      <c r="BR2332" t="s">
        <v>97</v>
      </c>
      <c r="BS2332" s="3">
        <v>45953</v>
      </c>
      <c r="BT2332" s="4">
        <v>0.53333333333333333</v>
      </c>
      <c r="BU2332" t="s">
        <v>2929</v>
      </c>
      <c r="BV2332" t="s">
        <v>86</v>
      </c>
      <c r="BY2332">
        <v>166443.95000000001</v>
      </c>
      <c r="CA2332" t="s">
        <v>142</v>
      </c>
      <c r="CC2332" t="s">
        <v>334</v>
      </c>
      <c r="CD2332">
        <v>6220</v>
      </c>
      <c r="CE2332" t="s">
        <v>191</v>
      </c>
      <c r="CF2332" s="3">
        <v>45953</v>
      </c>
      <c r="CI2332">
        <v>3</v>
      </c>
      <c r="CJ2332">
        <v>2</v>
      </c>
      <c r="CK2332">
        <v>41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"080068647201"</f>
        <v>080068647201</v>
      </c>
      <c r="F2333" s="3">
        <v>45951</v>
      </c>
      <c r="G2333">
        <v>202607</v>
      </c>
      <c r="H2333" t="s">
        <v>79</v>
      </c>
      <c r="I2333" t="s">
        <v>80</v>
      </c>
      <c r="J2333" t="s">
        <v>91</v>
      </c>
      <c r="K2333" t="s">
        <v>78</v>
      </c>
      <c r="L2333" t="s">
        <v>108</v>
      </c>
      <c r="M2333" t="s">
        <v>109</v>
      </c>
      <c r="N2333" t="s">
        <v>256</v>
      </c>
      <c r="O2333" t="s">
        <v>95</v>
      </c>
      <c r="P2333" t="str">
        <f>"4170065039                    "</f>
        <v xml:space="preserve">4170065039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50.37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12.3</v>
      </c>
      <c r="BJ2333">
        <v>18.600000000000001</v>
      </c>
      <c r="BK2333">
        <v>19</v>
      </c>
      <c r="BL2333">
        <v>165.74</v>
      </c>
      <c r="BM2333">
        <v>24.86</v>
      </c>
      <c r="BN2333">
        <v>190.6</v>
      </c>
      <c r="BO2333">
        <v>190.6</v>
      </c>
      <c r="BQ2333" t="s">
        <v>257</v>
      </c>
      <c r="BR2333" t="s">
        <v>97</v>
      </c>
      <c r="BS2333" s="3">
        <v>45953</v>
      </c>
      <c r="BT2333" s="4">
        <v>0.41736111111111113</v>
      </c>
      <c r="BU2333" t="s">
        <v>2930</v>
      </c>
      <c r="BV2333" t="s">
        <v>86</v>
      </c>
      <c r="BY2333">
        <v>93046.2</v>
      </c>
      <c r="CA2333" t="s">
        <v>142</v>
      </c>
      <c r="CC2333" t="s">
        <v>109</v>
      </c>
      <c r="CD2333">
        <v>6001</v>
      </c>
      <c r="CE2333" t="s">
        <v>191</v>
      </c>
      <c r="CF2333" s="3">
        <v>45953</v>
      </c>
      <c r="CI2333">
        <v>3</v>
      </c>
      <c r="CJ2333">
        <v>2</v>
      </c>
      <c r="CK2333">
        <v>41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"080068647251"</f>
        <v>080068647251</v>
      </c>
      <c r="F2334" s="3">
        <v>45951</v>
      </c>
      <c r="G2334">
        <v>202607</v>
      </c>
      <c r="H2334" t="s">
        <v>79</v>
      </c>
      <c r="I2334" t="s">
        <v>80</v>
      </c>
      <c r="J2334" t="s">
        <v>91</v>
      </c>
      <c r="K2334" t="s">
        <v>78</v>
      </c>
      <c r="L2334" t="s">
        <v>322</v>
      </c>
      <c r="M2334" t="s">
        <v>322</v>
      </c>
      <c r="N2334" t="s">
        <v>483</v>
      </c>
      <c r="O2334" t="s">
        <v>82</v>
      </c>
      <c r="P2334" t="str">
        <f>"4170065256                    "</f>
        <v xml:space="preserve">4170065256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180.23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5</v>
      </c>
      <c r="BJ2334">
        <v>8.9</v>
      </c>
      <c r="BK2334">
        <v>9</v>
      </c>
      <c r="BL2334">
        <v>572.03</v>
      </c>
      <c r="BM2334">
        <v>85.8</v>
      </c>
      <c r="BN2334">
        <v>657.83</v>
      </c>
      <c r="BO2334">
        <v>657.83</v>
      </c>
      <c r="BQ2334" t="s">
        <v>486</v>
      </c>
      <c r="BR2334" t="s">
        <v>97</v>
      </c>
      <c r="BS2334" s="3">
        <v>45952</v>
      </c>
      <c r="BT2334" s="4">
        <v>0.57916666666666672</v>
      </c>
      <c r="BU2334" t="s">
        <v>485</v>
      </c>
      <c r="BV2334" t="s">
        <v>90</v>
      </c>
      <c r="BW2334" t="s">
        <v>347</v>
      </c>
      <c r="BX2334" t="s">
        <v>1038</v>
      </c>
      <c r="BY2334">
        <v>44640</v>
      </c>
      <c r="CA2334" t="s">
        <v>326</v>
      </c>
      <c r="CC2334" t="s">
        <v>322</v>
      </c>
      <c r="CD2334">
        <v>7646</v>
      </c>
      <c r="CE2334" t="s">
        <v>191</v>
      </c>
      <c r="CF2334" s="3">
        <v>45953</v>
      </c>
      <c r="CI2334">
        <v>1</v>
      </c>
      <c r="CJ2334">
        <v>1</v>
      </c>
      <c r="CK2334">
        <v>23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"080068647282"</f>
        <v>080068647282</v>
      </c>
      <c r="F2335" s="3">
        <v>45951</v>
      </c>
      <c r="G2335">
        <v>202607</v>
      </c>
      <c r="H2335" t="s">
        <v>79</v>
      </c>
      <c r="I2335" t="s">
        <v>80</v>
      </c>
      <c r="J2335" t="s">
        <v>91</v>
      </c>
      <c r="K2335" t="s">
        <v>78</v>
      </c>
      <c r="L2335" t="s">
        <v>148</v>
      </c>
      <c r="M2335" t="s">
        <v>149</v>
      </c>
      <c r="N2335" t="s">
        <v>2427</v>
      </c>
      <c r="O2335" t="s">
        <v>82</v>
      </c>
      <c r="P2335" t="str">
        <f>"4170065135                    "</f>
        <v xml:space="preserve">4170065135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17.46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2.6</v>
      </c>
      <c r="BJ2335">
        <v>4.5999999999999996</v>
      </c>
      <c r="BK2335">
        <v>5</v>
      </c>
      <c r="BL2335">
        <v>55.42</v>
      </c>
      <c r="BM2335">
        <v>8.31</v>
      </c>
      <c r="BN2335">
        <v>63.73</v>
      </c>
      <c r="BO2335">
        <v>63.73</v>
      </c>
      <c r="BQ2335" t="s">
        <v>2428</v>
      </c>
      <c r="BR2335" t="s">
        <v>97</v>
      </c>
      <c r="BS2335" s="3">
        <v>45952</v>
      </c>
      <c r="BT2335" s="4">
        <v>0.33958333333333335</v>
      </c>
      <c r="BU2335" t="s">
        <v>2758</v>
      </c>
      <c r="BV2335" t="s">
        <v>86</v>
      </c>
      <c r="BY2335">
        <v>23086.400000000001</v>
      </c>
      <c r="CA2335" t="s">
        <v>1463</v>
      </c>
      <c r="CC2335" t="s">
        <v>149</v>
      </c>
      <c r="CD2335">
        <v>2190</v>
      </c>
      <c r="CE2335" t="s">
        <v>191</v>
      </c>
      <c r="CF2335" s="3">
        <v>45952</v>
      </c>
      <c r="CI2335">
        <v>1</v>
      </c>
      <c r="CJ2335">
        <v>1</v>
      </c>
      <c r="CK2335">
        <v>22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"080068647305"</f>
        <v>080068647305</v>
      </c>
      <c r="F2336" s="3">
        <v>45951</v>
      </c>
      <c r="G2336">
        <v>202607</v>
      </c>
      <c r="H2336" t="s">
        <v>79</v>
      </c>
      <c r="I2336" t="s">
        <v>80</v>
      </c>
      <c r="J2336" t="s">
        <v>91</v>
      </c>
      <c r="K2336" t="s">
        <v>78</v>
      </c>
      <c r="L2336" t="s">
        <v>206</v>
      </c>
      <c r="M2336" t="s">
        <v>207</v>
      </c>
      <c r="N2336" t="s">
        <v>208</v>
      </c>
      <c r="O2336" t="s">
        <v>82</v>
      </c>
      <c r="P2336" t="str">
        <f>"4170065229                    "</f>
        <v xml:space="preserve">4170065229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44.69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4</v>
      </c>
      <c r="BJ2336">
        <v>0.7</v>
      </c>
      <c r="BK2336">
        <v>4</v>
      </c>
      <c r="BL2336">
        <v>141.85</v>
      </c>
      <c r="BM2336">
        <v>21.28</v>
      </c>
      <c r="BN2336">
        <v>163.13</v>
      </c>
      <c r="BO2336">
        <v>163.13</v>
      </c>
      <c r="BQ2336" t="s">
        <v>209</v>
      </c>
      <c r="BR2336" t="s">
        <v>97</v>
      </c>
      <c r="BS2336" s="3">
        <v>45952</v>
      </c>
      <c r="BT2336" s="4">
        <v>0.38055555555555554</v>
      </c>
      <c r="BU2336" t="s">
        <v>1732</v>
      </c>
      <c r="BV2336" t="s">
        <v>86</v>
      </c>
      <c r="BY2336">
        <v>3306</v>
      </c>
      <c r="CA2336" t="s">
        <v>211</v>
      </c>
      <c r="CC2336" t="s">
        <v>207</v>
      </c>
      <c r="CD2336">
        <v>7441</v>
      </c>
      <c r="CE2336" t="s">
        <v>191</v>
      </c>
      <c r="CF2336" s="3">
        <v>45953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"080068647345"</f>
        <v>080068647345</v>
      </c>
      <c r="F2337" s="3">
        <v>45951</v>
      </c>
      <c r="G2337">
        <v>202607</v>
      </c>
      <c r="H2337" t="s">
        <v>79</v>
      </c>
      <c r="I2337" t="s">
        <v>80</v>
      </c>
      <c r="J2337" t="s">
        <v>91</v>
      </c>
      <c r="K2337" t="s">
        <v>78</v>
      </c>
      <c r="L2337" t="s">
        <v>108</v>
      </c>
      <c r="M2337" t="s">
        <v>109</v>
      </c>
      <c r="N2337" t="s">
        <v>938</v>
      </c>
      <c r="O2337" t="s">
        <v>82</v>
      </c>
      <c r="P2337" t="str">
        <f>"4170065197                    "</f>
        <v xml:space="preserve">4170065197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22.36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1.9</v>
      </c>
      <c r="BK2337">
        <v>2</v>
      </c>
      <c r="BL2337">
        <v>70.959999999999994</v>
      </c>
      <c r="BM2337">
        <v>10.64</v>
      </c>
      <c r="BN2337">
        <v>81.599999999999994</v>
      </c>
      <c r="BO2337">
        <v>81.599999999999994</v>
      </c>
      <c r="BQ2337" t="s">
        <v>939</v>
      </c>
      <c r="BR2337" t="s">
        <v>97</v>
      </c>
      <c r="BS2337" s="3">
        <v>45952</v>
      </c>
      <c r="BT2337" s="4">
        <v>0.43611111111111112</v>
      </c>
      <c r="BU2337" t="s">
        <v>1936</v>
      </c>
      <c r="BV2337" t="s">
        <v>86</v>
      </c>
      <c r="BY2337">
        <v>9600</v>
      </c>
      <c r="CA2337" t="s">
        <v>1145</v>
      </c>
      <c r="CC2337" t="s">
        <v>109</v>
      </c>
      <c r="CD2337">
        <v>6056</v>
      </c>
      <c r="CE2337" t="s">
        <v>191</v>
      </c>
      <c r="CF2337" s="3">
        <v>45952</v>
      </c>
      <c r="CI2337">
        <v>1</v>
      </c>
      <c r="CJ2337">
        <v>1</v>
      </c>
      <c r="CK2337">
        <v>21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"080068647357"</f>
        <v>080068647357</v>
      </c>
      <c r="F2338" s="3">
        <v>45951</v>
      </c>
      <c r="G2338">
        <v>202607</v>
      </c>
      <c r="H2338" t="s">
        <v>79</v>
      </c>
      <c r="I2338" t="s">
        <v>80</v>
      </c>
      <c r="J2338" t="s">
        <v>91</v>
      </c>
      <c r="K2338" t="s">
        <v>78</v>
      </c>
      <c r="L2338" t="s">
        <v>148</v>
      </c>
      <c r="M2338" t="s">
        <v>149</v>
      </c>
      <c r="N2338" t="s">
        <v>497</v>
      </c>
      <c r="O2338" t="s">
        <v>95</v>
      </c>
      <c r="P2338" t="str">
        <f>"4170065247                    "</f>
        <v xml:space="preserve">4170065247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51.89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16.739999999999998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12.3</v>
      </c>
      <c r="BJ2338">
        <v>33.6</v>
      </c>
      <c r="BK2338">
        <v>34</v>
      </c>
      <c r="BL2338">
        <v>187.3</v>
      </c>
      <c r="BM2338">
        <v>28.1</v>
      </c>
      <c r="BN2338">
        <v>215.4</v>
      </c>
      <c r="BO2338">
        <v>215.4</v>
      </c>
      <c r="BQ2338" t="s">
        <v>498</v>
      </c>
      <c r="BR2338" t="s">
        <v>97</v>
      </c>
      <c r="BS2338" s="3">
        <v>45952</v>
      </c>
      <c r="BT2338" s="4">
        <v>0.41666666666666669</v>
      </c>
      <c r="BU2338" t="s">
        <v>499</v>
      </c>
      <c r="BV2338" t="s">
        <v>86</v>
      </c>
      <c r="BY2338">
        <v>167863.92</v>
      </c>
      <c r="BZ2338" t="s">
        <v>30</v>
      </c>
      <c r="CA2338" t="s">
        <v>501</v>
      </c>
      <c r="CC2338" t="s">
        <v>149</v>
      </c>
      <c r="CD2338">
        <v>2188</v>
      </c>
      <c r="CE2338" t="s">
        <v>191</v>
      </c>
      <c r="CF2338" s="3">
        <v>45953</v>
      </c>
      <c r="CI2338">
        <v>1</v>
      </c>
      <c r="CJ2338">
        <v>1</v>
      </c>
      <c r="CK2338">
        <v>42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"080068647411"</f>
        <v>080068647411</v>
      </c>
      <c r="F2339" s="3">
        <v>45951</v>
      </c>
      <c r="G2339">
        <v>202607</v>
      </c>
      <c r="H2339" t="s">
        <v>79</v>
      </c>
      <c r="I2339" t="s">
        <v>80</v>
      </c>
      <c r="J2339" t="s">
        <v>91</v>
      </c>
      <c r="K2339" t="s">
        <v>78</v>
      </c>
      <c r="L2339" t="s">
        <v>108</v>
      </c>
      <c r="M2339" t="s">
        <v>109</v>
      </c>
      <c r="N2339" t="s">
        <v>2931</v>
      </c>
      <c r="O2339" t="s">
        <v>82</v>
      </c>
      <c r="P2339" t="str">
        <f>"4170065209                    "</f>
        <v xml:space="preserve">4170065209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22.36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1.7</v>
      </c>
      <c r="BK2339">
        <v>2</v>
      </c>
      <c r="BL2339">
        <v>70.959999999999994</v>
      </c>
      <c r="BM2339">
        <v>10.64</v>
      </c>
      <c r="BN2339">
        <v>81.599999999999994</v>
      </c>
      <c r="BO2339">
        <v>81.599999999999994</v>
      </c>
      <c r="BQ2339" t="s">
        <v>2932</v>
      </c>
      <c r="BR2339" t="s">
        <v>97</v>
      </c>
      <c r="BS2339" s="3">
        <v>45952</v>
      </c>
      <c r="BT2339" s="4">
        <v>0.38263888888888886</v>
      </c>
      <c r="BU2339" t="s">
        <v>2933</v>
      </c>
      <c r="BV2339" t="s">
        <v>86</v>
      </c>
      <c r="BY2339">
        <v>8550</v>
      </c>
      <c r="CA2339" t="s">
        <v>142</v>
      </c>
      <c r="CC2339" t="s">
        <v>109</v>
      </c>
      <c r="CD2339">
        <v>6001</v>
      </c>
      <c r="CE2339" t="s">
        <v>191</v>
      </c>
      <c r="CF2339" s="3">
        <v>45952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"080068647427"</f>
        <v>080068647427</v>
      </c>
      <c r="F2340" s="3">
        <v>45951</v>
      </c>
      <c r="G2340">
        <v>202607</v>
      </c>
      <c r="H2340" t="s">
        <v>79</v>
      </c>
      <c r="I2340" t="s">
        <v>80</v>
      </c>
      <c r="J2340" t="s">
        <v>91</v>
      </c>
      <c r="K2340" t="s">
        <v>78</v>
      </c>
      <c r="L2340" t="s">
        <v>168</v>
      </c>
      <c r="M2340" t="s">
        <v>169</v>
      </c>
      <c r="N2340" t="s">
        <v>911</v>
      </c>
      <c r="O2340" t="s">
        <v>82</v>
      </c>
      <c r="P2340" t="str">
        <f>"4170065226                    "</f>
        <v xml:space="preserve">4170065226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22.36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70.959999999999994</v>
      </c>
      <c r="BM2340">
        <v>10.64</v>
      </c>
      <c r="BN2340">
        <v>81.599999999999994</v>
      </c>
      <c r="BO2340">
        <v>81.599999999999994</v>
      </c>
      <c r="BQ2340" t="s">
        <v>912</v>
      </c>
      <c r="BR2340" t="s">
        <v>97</v>
      </c>
      <c r="BS2340" s="3">
        <v>45952</v>
      </c>
      <c r="BT2340" s="4">
        <v>0.4375</v>
      </c>
      <c r="BU2340" t="s">
        <v>2934</v>
      </c>
      <c r="BV2340" t="s">
        <v>86</v>
      </c>
      <c r="BY2340">
        <v>1200</v>
      </c>
      <c r="CA2340">
        <v>8201095431082</v>
      </c>
      <c r="CC2340" t="s">
        <v>169</v>
      </c>
      <c r="CD2340" s="5" t="s">
        <v>914</v>
      </c>
      <c r="CE2340" t="s">
        <v>147</v>
      </c>
      <c r="CF2340" s="3">
        <v>45952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"080068647470"</f>
        <v>080068647470</v>
      </c>
      <c r="F2341" s="3">
        <v>45951</v>
      </c>
      <c r="G2341">
        <v>202607</v>
      </c>
      <c r="H2341" t="s">
        <v>79</v>
      </c>
      <c r="I2341" t="s">
        <v>80</v>
      </c>
      <c r="J2341" t="s">
        <v>91</v>
      </c>
      <c r="K2341" t="s">
        <v>78</v>
      </c>
      <c r="L2341" t="s">
        <v>108</v>
      </c>
      <c r="M2341" t="s">
        <v>109</v>
      </c>
      <c r="N2341" t="s">
        <v>515</v>
      </c>
      <c r="O2341" t="s">
        <v>82</v>
      </c>
      <c r="P2341" t="str">
        <f>"4170065236                    "</f>
        <v xml:space="preserve">4170065236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22.36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70.959999999999994</v>
      </c>
      <c r="BM2341">
        <v>10.64</v>
      </c>
      <c r="BN2341">
        <v>81.599999999999994</v>
      </c>
      <c r="BO2341">
        <v>81.599999999999994</v>
      </c>
      <c r="BQ2341" t="s">
        <v>516</v>
      </c>
      <c r="BR2341" t="s">
        <v>97</v>
      </c>
      <c r="BS2341" s="3">
        <v>45952</v>
      </c>
      <c r="BT2341" s="4">
        <v>0.42708333333333331</v>
      </c>
      <c r="BU2341" t="s">
        <v>517</v>
      </c>
      <c r="BV2341" t="s">
        <v>86</v>
      </c>
      <c r="BY2341">
        <v>1200</v>
      </c>
      <c r="CA2341" t="s">
        <v>113</v>
      </c>
      <c r="CC2341" t="s">
        <v>109</v>
      </c>
      <c r="CD2341">
        <v>6001</v>
      </c>
      <c r="CE2341" t="s">
        <v>147</v>
      </c>
      <c r="CF2341" s="3">
        <v>45952</v>
      </c>
      <c r="CI2341">
        <v>1</v>
      </c>
      <c r="CJ2341">
        <v>1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"080068647504"</f>
        <v>080068647504</v>
      </c>
      <c r="F2342" s="3">
        <v>45951</v>
      </c>
      <c r="G2342">
        <v>202607</v>
      </c>
      <c r="H2342" t="s">
        <v>79</v>
      </c>
      <c r="I2342" t="s">
        <v>80</v>
      </c>
      <c r="J2342" t="s">
        <v>91</v>
      </c>
      <c r="K2342" t="s">
        <v>78</v>
      </c>
      <c r="L2342" t="s">
        <v>206</v>
      </c>
      <c r="M2342" t="s">
        <v>207</v>
      </c>
      <c r="N2342" t="s">
        <v>656</v>
      </c>
      <c r="O2342" t="s">
        <v>82</v>
      </c>
      <c r="P2342" t="str">
        <f>"4170065142                    "</f>
        <v xml:space="preserve">4170065142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22.36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70.959999999999994</v>
      </c>
      <c r="BM2342">
        <v>10.64</v>
      </c>
      <c r="BN2342">
        <v>81.599999999999994</v>
      </c>
      <c r="BO2342">
        <v>81.599999999999994</v>
      </c>
      <c r="BQ2342" t="s">
        <v>657</v>
      </c>
      <c r="BR2342" t="s">
        <v>97</v>
      </c>
      <c r="BS2342" s="3">
        <v>45952</v>
      </c>
      <c r="BT2342" s="4">
        <v>0.41666666666666669</v>
      </c>
      <c r="BU2342" t="s">
        <v>1442</v>
      </c>
      <c r="BV2342" t="s">
        <v>86</v>
      </c>
      <c r="BY2342">
        <v>1200</v>
      </c>
      <c r="CA2342" t="s">
        <v>770</v>
      </c>
      <c r="CC2342" t="s">
        <v>207</v>
      </c>
      <c r="CD2342">
        <v>7441</v>
      </c>
      <c r="CE2342" t="s">
        <v>147</v>
      </c>
      <c r="CF2342" s="3">
        <v>45953</v>
      </c>
      <c r="CI2342">
        <v>1</v>
      </c>
      <c r="CJ2342">
        <v>1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"080068647774"</f>
        <v>080068647774</v>
      </c>
      <c r="F2343" s="3">
        <v>45951</v>
      </c>
      <c r="G2343">
        <v>202607</v>
      </c>
      <c r="H2343" t="s">
        <v>79</v>
      </c>
      <c r="I2343" t="s">
        <v>80</v>
      </c>
      <c r="J2343" t="s">
        <v>91</v>
      </c>
      <c r="K2343" t="s">
        <v>78</v>
      </c>
      <c r="L2343" t="s">
        <v>453</v>
      </c>
      <c r="M2343" t="s">
        <v>454</v>
      </c>
      <c r="N2343" t="s">
        <v>581</v>
      </c>
      <c r="O2343" t="s">
        <v>82</v>
      </c>
      <c r="P2343" t="str">
        <f>"4170064845                    "</f>
        <v xml:space="preserve">4170064845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22.36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70.959999999999994</v>
      </c>
      <c r="BM2343">
        <v>10.64</v>
      </c>
      <c r="BN2343">
        <v>81.599999999999994</v>
      </c>
      <c r="BO2343">
        <v>81.599999999999994</v>
      </c>
      <c r="BQ2343" t="s">
        <v>582</v>
      </c>
      <c r="BR2343" t="s">
        <v>97</v>
      </c>
      <c r="BS2343" s="3">
        <v>45952</v>
      </c>
      <c r="BT2343" s="4">
        <v>0.47916666666666669</v>
      </c>
      <c r="BU2343" t="s">
        <v>583</v>
      </c>
      <c r="BV2343" t="s">
        <v>86</v>
      </c>
      <c r="BY2343">
        <v>1200</v>
      </c>
      <c r="CA2343" t="s">
        <v>742</v>
      </c>
      <c r="CC2343" t="s">
        <v>454</v>
      </c>
      <c r="CD2343">
        <v>3610</v>
      </c>
      <c r="CE2343" t="s">
        <v>147</v>
      </c>
      <c r="CF2343" s="3">
        <v>45952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"080068647803"</f>
        <v>080068647803</v>
      </c>
      <c r="F2344" s="3">
        <v>45951</v>
      </c>
      <c r="G2344">
        <v>202607</v>
      </c>
      <c r="H2344" t="s">
        <v>79</v>
      </c>
      <c r="I2344" t="s">
        <v>80</v>
      </c>
      <c r="J2344" t="s">
        <v>91</v>
      </c>
      <c r="K2344" t="s">
        <v>78</v>
      </c>
      <c r="L2344" t="s">
        <v>148</v>
      </c>
      <c r="M2344" t="s">
        <v>149</v>
      </c>
      <c r="N2344" t="s">
        <v>819</v>
      </c>
      <c r="O2344" t="s">
        <v>82</v>
      </c>
      <c r="P2344" t="str">
        <f>"4170065250                    "</f>
        <v xml:space="preserve">4170065250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17.46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55.42</v>
      </c>
      <c r="BM2344">
        <v>8.31</v>
      </c>
      <c r="BN2344">
        <v>63.73</v>
      </c>
      <c r="BO2344">
        <v>63.73</v>
      </c>
      <c r="BQ2344" t="s">
        <v>820</v>
      </c>
      <c r="BR2344" t="s">
        <v>97</v>
      </c>
      <c r="BS2344" s="3">
        <v>45952</v>
      </c>
      <c r="BT2344" s="4">
        <v>0.41111111111111109</v>
      </c>
      <c r="BU2344" t="s">
        <v>2935</v>
      </c>
      <c r="BV2344" t="s">
        <v>86</v>
      </c>
      <c r="BY2344">
        <v>1200</v>
      </c>
      <c r="CA2344" t="s">
        <v>2853</v>
      </c>
      <c r="CC2344" t="s">
        <v>149</v>
      </c>
      <c r="CD2344">
        <v>2197</v>
      </c>
      <c r="CE2344" t="s">
        <v>147</v>
      </c>
      <c r="CF2344" s="3">
        <v>45953</v>
      </c>
      <c r="CI2344">
        <v>1</v>
      </c>
      <c r="CJ2344">
        <v>1</v>
      </c>
      <c r="CK2344">
        <v>22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"080068647827"</f>
        <v>080068647827</v>
      </c>
      <c r="F2345" s="3">
        <v>45951</v>
      </c>
      <c r="G2345">
        <v>202607</v>
      </c>
      <c r="H2345" t="s">
        <v>79</v>
      </c>
      <c r="I2345" t="s">
        <v>80</v>
      </c>
      <c r="J2345" t="s">
        <v>91</v>
      </c>
      <c r="K2345" t="s">
        <v>78</v>
      </c>
      <c r="L2345" t="s">
        <v>148</v>
      </c>
      <c r="M2345" t="s">
        <v>149</v>
      </c>
      <c r="N2345" t="s">
        <v>497</v>
      </c>
      <c r="O2345" t="s">
        <v>226</v>
      </c>
      <c r="P2345" t="str">
        <f>"4170065264                    "</f>
        <v xml:space="preserve">4170065264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17.47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16.739999999999998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2.7</v>
      </c>
      <c r="BJ2345">
        <v>2.6</v>
      </c>
      <c r="BK2345">
        <v>3</v>
      </c>
      <c r="BL2345">
        <v>72.180000000000007</v>
      </c>
      <c r="BM2345">
        <v>10.83</v>
      </c>
      <c r="BN2345">
        <v>83.01</v>
      </c>
      <c r="BO2345">
        <v>83.01</v>
      </c>
      <c r="BQ2345" t="s">
        <v>498</v>
      </c>
      <c r="BR2345" t="s">
        <v>97</v>
      </c>
      <c r="BS2345" s="3">
        <v>45952</v>
      </c>
      <c r="BT2345" s="4">
        <v>0.41666666666666669</v>
      </c>
      <c r="BU2345" t="s">
        <v>499</v>
      </c>
      <c r="BV2345" t="s">
        <v>86</v>
      </c>
      <c r="BY2345">
        <v>13064.4</v>
      </c>
      <c r="BZ2345" t="s">
        <v>30</v>
      </c>
      <c r="CA2345" t="s">
        <v>501</v>
      </c>
      <c r="CC2345" t="s">
        <v>149</v>
      </c>
      <c r="CD2345">
        <v>2188</v>
      </c>
      <c r="CE2345" t="s">
        <v>191</v>
      </c>
      <c r="CF2345" s="3">
        <v>45953</v>
      </c>
      <c r="CI2345">
        <v>1</v>
      </c>
      <c r="CJ2345">
        <v>1</v>
      </c>
      <c r="CK2345">
        <v>32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"080068647897"</f>
        <v>080068647897</v>
      </c>
      <c r="F2346" s="3">
        <v>45951</v>
      </c>
      <c r="G2346">
        <v>202607</v>
      </c>
      <c r="H2346" t="s">
        <v>79</v>
      </c>
      <c r="I2346" t="s">
        <v>80</v>
      </c>
      <c r="J2346" t="s">
        <v>91</v>
      </c>
      <c r="K2346" t="s">
        <v>78</v>
      </c>
      <c r="L2346" t="s">
        <v>453</v>
      </c>
      <c r="M2346" t="s">
        <v>454</v>
      </c>
      <c r="N2346" t="s">
        <v>1223</v>
      </c>
      <c r="O2346" t="s">
        <v>82</v>
      </c>
      <c r="P2346" t="str">
        <f>"4170065152                    "</f>
        <v xml:space="preserve">4170065152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22.36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2</v>
      </c>
      <c r="BJ2346">
        <v>0.9</v>
      </c>
      <c r="BK2346">
        <v>2</v>
      </c>
      <c r="BL2346">
        <v>70.959999999999994</v>
      </c>
      <c r="BM2346">
        <v>10.64</v>
      </c>
      <c r="BN2346">
        <v>81.599999999999994</v>
      </c>
      <c r="BO2346">
        <v>81.599999999999994</v>
      </c>
      <c r="BQ2346" t="s">
        <v>1224</v>
      </c>
      <c r="BR2346" t="s">
        <v>97</v>
      </c>
      <c r="BS2346" s="3">
        <v>45952</v>
      </c>
      <c r="BT2346" s="4">
        <v>0.46527777777777779</v>
      </c>
      <c r="BU2346" t="s">
        <v>2675</v>
      </c>
      <c r="BV2346" t="s">
        <v>86</v>
      </c>
      <c r="BY2346">
        <v>4608</v>
      </c>
      <c r="CA2346" t="s">
        <v>742</v>
      </c>
      <c r="CC2346" t="s">
        <v>454</v>
      </c>
      <c r="CD2346">
        <v>3610</v>
      </c>
      <c r="CE2346" t="s">
        <v>107</v>
      </c>
      <c r="CF2346" s="3">
        <v>45952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"080068647984"</f>
        <v>080068647984</v>
      </c>
      <c r="F2347" s="3">
        <v>45951</v>
      </c>
      <c r="G2347">
        <v>202607</v>
      </c>
      <c r="H2347" t="s">
        <v>79</v>
      </c>
      <c r="I2347" t="s">
        <v>80</v>
      </c>
      <c r="J2347" t="s">
        <v>91</v>
      </c>
      <c r="K2347" t="s">
        <v>78</v>
      </c>
      <c r="L2347" t="s">
        <v>114</v>
      </c>
      <c r="M2347" t="s">
        <v>115</v>
      </c>
      <c r="N2347" t="s">
        <v>746</v>
      </c>
      <c r="O2347" t="s">
        <v>82</v>
      </c>
      <c r="P2347" t="str">
        <f>"4170065237                    "</f>
        <v xml:space="preserve">4170065237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122.88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8</v>
      </c>
      <c r="BJ2347">
        <v>10.6</v>
      </c>
      <c r="BK2347">
        <v>11</v>
      </c>
      <c r="BL2347">
        <v>390</v>
      </c>
      <c r="BM2347">
        <v>58.5</v>
      </c>
      <c r="BN2347">
        <v>448.5</v>
      </c>
      <c r="BO2347">
        <v>448.5</v>
      </c>
      <c r="BQ2347" t="s">
        <v>747</v>
      </c>
      <c r="BR2347" t="s">
        <v>97</v>
      </c>
      <c r="BS2347" s="3">
        <v>45952</v>
      </c>
      <c r="BT2347" s="4">
        <v>0.51111111111111107</v>
      </c>
      <c r="BU2347" t="s">
        <v>2770</v>
      </c>
      <c r="BV2347" t="s">
        <v>90</v>
      </c>
      <c r="BY2347">
        <v>52992</v>
      </c>
      <c r="CA2347" t="s">
        <v>749</v>
      </c>
      <c r="CC2347" t="s">
        <v>115</v>
      </c>
      <c r="CD2347">
        <v>5201</v>
      </c>
      <c r="CE2347" t="s">
        <v>107</v>
      </c>
      <c r="CF2347" s="3">
        <v>45953</v>
      </c>
      <c r="CI2347">
        <v>1</v>
      </c>
      <c r="CJ2347">
        <v>1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"080068648325"</f>
        <v>080068648325</v>
      </c>
      <c r="F2348" s="3">
        <v>45951</v>
      </c>
      <c r="G2348">
        <v>202607</v>
      </c>
      <c r="H2348" t="s">
        <v>79</v>
      </c>
      <c r="I2348" t="s">
        <v>80</v>
      </c>
      <c r="J2348" t="s">
        <v>91</v>
      </c>
      <c r="K2348" t="s">
        <v>78</v>
      </c>
      <c r="L2348" t="s">
        <v>206</v>
      </c>
      <c r="M2348" t="s">
        <v>207</v>
      </c>
      <c r="N2348" t="s">
        <v>656</v>
      </c>
      <c r="O2348" t="s">
        <v>82</v>
      </c>
      <c r="P2348" t="str">
        <f>"4170065259                    "</f>
        <v xml:space="preserve">4170065259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100.54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9</v>
      </c>
      <c r="BJ2348">
        <v>4.5999999999999996</v>
      </c>
      <c r="BK2348">
        <v>9</v>
      </c>
      <c r="BL2348">
        <v>319.10000000000002</v>
      </c>
      <c r="BM2348">
        <v>47.87</v>
      </c>
      <c r="BN2348">
        <v>366.97</v>
      </c>
      <c r="BO2348">
        <v>366.97</v>
      </c>
      <c r="BQ2348" t="s">
        <v>657</v>
      </c>
      <c r="BR2348" t="s">
        <v>97</v>
      </c>
      <c r="BS2348" s="3">
        <v>45952</v>
      </c>
      <c r="BT2348" s="4">
        <v>0.41666666666666669</v>
      </c>
      <c r="BU2348" t="s">
        <v>1442</v>
      </c>
      <c r="BV2348" t="s">
        <v>86</v>
      </c>
      <c r="BY2348">
        <v>23120</v>
      </c>
      <c r="CA2348" t="s">
        <v>770</v>
      </c>
      <c r="CC2348" t="s">
        <v>207</v>
      </c>
      <c r="CD2348">
        <v>7441</v>
      </c>
      <c r="CE2348" t="s">
        <v>107</v>
      </c>
      <c r="CF2348" s="3">
        <v>45953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"080068648397"</f>
        <v>080068648397</v>
      </c>
      <c r="F2349" s="3">
        <v>45951</v>
      </c>
      <c r="G2349">
        <v>202607</v>
      </c>
      <c r="H2349" t="s">
        <v>79</v>
      </c>
      <c r="I2349" t="s">
        <v>80</v>
      </c>
      <c r="J2349" t="s">
        <v>91</v>
      </c>
      <c r="K2349" t="s">
        <v>78</v>
      </c>
      <c r="L2349" t="s">
        <v>333</v>
      </c>
      <c r="M2349" t="s">
        <v>334</v>
      </c>
      <c r="N2349" t="s">
        <v>1388</v>
      </c>
      <c r="O2349" t="s">
        <v>82</v>
      </c>
      <c r="P2349" t="str">
        <f>"4170065224                    "</f>
        <v xml:space="preserve">4170065224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55.86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5</v>
      </c>
      <c r="BJ2349">
        <v>3.5</v>
      </c>
      <c r="BK2349">
        <v>5</v>
      </c>
      <c r="BL2349">
        <v>177.3</v>
      </c>
      <c r="BM2349">
        <v>26.6</v>
      </c>
      <c r="BN2349">
        <v>203.9</v>
      </c>
      <c r="BO2349">
        <v>203.9</v>
      </c>
      <c r="BQ2349" t="s">
        <v>1389</v>
      </c>
      <c r="BR2349" t="s">
        <v>97</v>
      </c>
      <c r="BS2349" s="3">
        <v>45952</v>
      </c>
      <c r="BT2349" s="4">
        <v>0.41041666666666665</v>
      </c>
      <c r="BU2349" t="s">
        <v>2413</v>
      </c>
      <c r="BV2349" t="s">
        <v>86</v>
      </c>
      <c r="BY2349">
        <v>17556</v>
      </c>
      <c r="CA2349" t="s">
        <v>142</v>
      </c>
      <c r="CC2349" t="s">
        <v>334</v>
      </c>
      <c r="CD2349">
        <v>6220</v>
      </c>
      <c r="CE2349" t="s">
        <v>107</v>
      </c>
      <c r="CF2349" s="3">
        <v>45952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"080068648449"</f>
        <v>080068648449</v>
      </c>
      <c r="F2350" s="3">
        <v>45951</v>
      </c>
      <c r="G2350">
        <v>202607</v>
      </c>
      <c r="H2350" t="s">
        <v>79</v>
      </c>
      <c r="I2350" t="s">
        <v>80</v>
      </c>
      <c r="J2350" t="s">
        <v>91</v>
      </c>
      <c r="K2350" t="s">
        <v>78</v>
      </c>
      <c r="L2350" t="s">
        <v>333</v>
      </c>
      <c r="M2350" t="s">
        <v>334</v>
      </c>
      <c r="N2350" t="s">
        <v>794</v>
      </c>
      <c r="O2350" t="s">
        <v>82</v>
      </c>
      <c r="P2350" t="str">
        <f>"4170064877                    "</f>
        <v xml:space="preserve">4170064877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22.36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1.1000000000000001</v>
      </c>
      <c r="BK2350">
        <v>1.5</v>
      </c>
      <c r="BL2350">
        <v>70.959999999999994</v>
      </c>
      <c r="BM2350">
        <v>10.64</v>
      </c>
      <c r="BN2350">
        <v>81.599999999999994</v>
      </c>
      <c r="BO2350">
        <v>81.599999999999994</v>
      </c>
      <c r="BQ2350" t="s">
        <v>795</v>
      </c>
      <c r="BR2350" t="s">
        <v>97</v>
      </c>
      <c r="BS2350" s="3">
        <v>45952</v>
      </c>
      <c r="BT2350" s="4">
        <v>0.42777777777777776</v>
      </c>
      <c r="BU2350" t="s">
        <v>796</v>
      </c>
      <c r="BV2350" t="s">
        <v>86</v>
      </c>
      <c r="BY2350">
        <v>5510</v>
      </c>
      <c r="CA2350" t="s">
        <v>142</v>
      </c>
      <c r="CC2350" t="s">
        <v>334</v>
      </c>
      <c r="CD2350">
        <v>6220</v>
      </c>
      <c r="CE2350" t="s">
        <v>191</v>
      </c>
      <c r="CF2350" s="3">
        <v>45952</v>
      </c>
      <c r="CI2350">
        <v>1</v>
      </c>
      <c r="CJ2350">
        <v>1</v>
      </c>
      <c r="CK2350">
        <v>21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"080068648501"</f>
        <v>080068648501</v>
      </c>
      <c r="F2351" s="3">
        <v>45951</v>
      </c>
      <c r="G2351">
        <v>202607</v>
      </c>
      <c r="H2351" t="s">
        <v>79</v>
      </c>
      <c r="I2351" t="s">
        <v>80</v>
      </c>
      <c r="J2351" t="s">
        <v>91</v>
      </c>
      <c r="K2351" t="s">
        <v>78</v>
      </c>
      <c r="L2351" t="s">
        <v>108</v>
      </c>
      <c r="M2351" t="s">
        <v>109</v>
      </c>
      <c r="N2351" t="s">
        <v>938</v>
      </c>
      <c r="O2351" t="s">
        <v>82</v>
      </c>
      <c r="P2351" t="str">
        <f>"4170065196                    "</f>
        <v xml:space="preserve">4170065196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22.36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1.9</v>
      </c>
      <c r="BK2351">
        <v>2</v>
      </c>
      <c r="BL2351">
        <v>70.959999999999994</v>
      </c>
      <c r="BM2351">
        <v>10.64</v>
      </c>
      <c r="BN2351">
        <v>81.599999999999994</v>
      </c>
      <c r="BO2351">
        <v>81.599999999999994</v>
      </c>
      <c r="BQ2351" t="s">
        <v>939</v>
      </c>
      <c r="BR2351" t="s">
        <v>97</v>
      </c>
      <c r="BS2351" s="3">
        <v>45952</v>
      </c>
      <c r="BT2351" s="4">
        <v>0.43611111111111112</v>
      </c>
      <c r="BU2351" t="s">
        <v>1936</v>
      </c>
      <c r="BV2351" t="s">
        <v>86</v>
      </c>
      <c r="BY2351">
        <v>9600</v>
      </c>
      <c r="CA2351" t="s">
        <v>1145</v>
      </c>
      <c r="CC2351" t="s">
        <v>109</v>
      </c>
      <c r="CD2351">
        <v>6056</v>
      </c>
      <c r="CE2351" t="s">
        <v>191</v>
      </c>
      <c r="CF2351" s="3">
        <v>45952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"080068648565"</f>
        <v>080068648565</v>
      </c>
      <c r="F2352" s="3">
        <v>45951</v>
      </c>
      <c r="G2352">
        <v>202607</v>
      </c>
      <c r="H2352" t="s">
        <v>79</v>
      </c>
      <c r="I2352" t="s">
        <v>80</v>
      </c>
      <c r="J2352" t="s">
        <v>91</v>
      </c>
      <c r="K2352" t="s">
        <v>78</v>
      </c>
      <c r="L2352" t="s">
        <v>148</v>
      </c>
      <c r="M2352" t="s">
        <v>149</v>
      </c>
      <c r="N2352" t="s">
        <v>2936</v>
      </c>
      <c r="O2352" t="s">
        <v>82</v>
      </c>
      <c r="P2352" t="str">
        <f>"4170065176                    "</f>
        <v xml:space="preserve">4170065176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22.36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16.739999999999998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1.5</v>
      </c>
      <c r="BJ2352">
        <v>1.2</v>
      </c>
      <c r="BK2352">
        <v>1.5</v>
      </c>
      <c r="BL2352">
        <v>87.7</v>
      </c>
      <c r="BM2352">
        <v>13.16</v>
      </c>
      <c r="BN2352">
        <v>100.86</v>
      </c>
      <c r="BO2352">
        <v>100.86</v>
      </c>
      <c r="BQ2352" t="s">
        <v>2937</v>
      </c>
      <c r="BR2352" t="s">
        <v>97</v>
      </c>
      <c r="BS2352" s="3">
        <v>45952</v>
      </c>
      <c r="BT2352" s="4">
        <v>0.44236111111111109</v>
      </c>
      <c r="BU2352" t="s">
        <v>2938</v>
      </c>
      <c r="BV2352" t="s">
        <v>86</v>
      </c>
      <c r="BY2352">
        <v>6138.3</v>
      </c>
      <c r="BZ2352" t="s">
        <v>30</v>
      </c>
      <c r="CA2352" t="s">
        <v>2939</v>
      </c>
      <c r="CC2352" t="s">
        <v>149</v>
      </c>
      <c r="CD2352">
        <v>1821</v>
      </c>
      <c r="CE2352" t="s">
        <v>191</v>
      </c>
      <c r="CF2352" s="3">
        <v>45953</v>
      </c>
      <c r="CI2352">
        <v>0</v>
      </c>
      <c r="CJ2352">
        <v>0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"080011652518"</f>
        <v>080011652518</v>
      </c>
      <c r="F2353" s="3">
        <v>45951</v>
      </c>
      <c r="G2353">
        <v>202607</v>
      </c>
      <c r="H2353" t="s">
        <v>239</v>
      </c>
      <c r="I2353" t="s">
        <v>240</v>
      </c>
      <c r="J2353" t="s">
        <v>2940</v>
      </c>
      <c r="K2353" t="s">
        <v>78</v>
      </c>
      <c r="L2353" t="s">
        <v>79</v>
      </c>
      <c r="M2353" t="s">
        <v>80</v>
      </c>
      <c r="N2353" t="s">
        <v>81</v>
      </c>
      <c r="O2353" t="s">
        <v>95</v>
      </c>
      <c r="P2353" t="str">
        <f>"Over supply                   "</f>
        <v xml:space="preserve">Over supply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60.97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5</v>
      </c>
      <c r="BJ2353">
        <v>3.6</v>
      </c>
      <c r="BK2353">
        <v>5</v>
      </c>
      <c r="BL2353">
        <v>199.39</v>
      </c>
      <c r="BM2353">
        <v>29.91</v>
      </c>
      <c r="BN2353">
        <v>229.3</v>
      </c>
      <c r="BO2353">
        <v>229.3</v>
      </c>
      <c r="BP2353" t="s">
        <v>2941</v>
      </c>
      <c r="BQ2353" t="s">
        <v>83</v>
      </c>
      <c r="BR2353" t="s">
        <v>1430</v>
      </c>
      <c r="BS2353" s="3">
        <v>45952</v>
      </c>
      <c r="BT2353" s="4">
        <v>0.37708333333333333</v>
      </c>
      <c r="BU2353" t="s">
        <v>2942</v>
      </c>
      <c r="BV2353" t="s">
        <v>86</v>
      </c>
      <c r="BY2353">
        <v>18000</v>
      </c>
      <c r="BZ2353" t="s">
        <v>99</v>
      </c>
      <c r="CA2353" t="s">
        <v>88</v>
      </c>
      <c r="CC2353" t="s">
        <v>80</v>
      </c>
      <c r="CD2353">
        <v>1619</v>
      </c>
      <c r="CE2353" t="s">
        <v>89</v>
      </c>
      <c r="CF2353" s="3">
        <v>45952</v>
      </c>
      <c r="CI2353">
        <v>1</v>
      </c>
      <c r="CJ2353">
        <v>1</v>
      </c>
      <c r="CK2353">
        <v>43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"080068650070"</f>
        <v>080068650070</v>
      </c>
      <c r="F2354" s="3">
        <v>45951</v>
      </c>
      <c r="G2354">
        <v>202607</v>
      </c>
      <c r="H2354" t="s">
        <v>79</v>
      </c>
      <c r="I2354" t="s">
        <v>80</v>
      </c>
      <c r="J2354" t="s">
        <v>91</v>
      </c>
      <c r="K2354" t="s">
        <v>78</v>
      </c>
      <c r="L2354" t="s">
        <v>206</v>
      </c>
      <c r="M2354" t="s">
        <v>207</v>
      </c>
      <c r="N2354" t="s">
        <v>1115</v>
      </c>
      <c r="O2354" t="s">
        <v>82</v>
      </c>
      <c r="P2354" t="str">
        <f>"4170065249                    "</f>
        <v xml:space="preserve">4170065249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22.36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70.959999999999994</v>
      </c>
      <c r="BM2354">
        <v>10.64</v>
      </c>
      <c r="BN2354">
        <v>81.599999999999994</v>
      </c>
      <c r="BO2354">
        <v>81.599999999999994</v>
      </c>
      <c r="BQ2354" t="s">
        <v>1116</v>
      </c>
      <c r="BR2354" t="s">
        <v>97</v>
      </c>
      <c r="BS2354" s="3">
        <v>45953</v>
      </c>
      <c r="BT2354" s="4">
        <v>0.50069444444444444</v>
      </c>
      <c r="BU2354" t="s">
        <v>2943</v>
      </c>
      <c r="BV2354" t="s">
        <v>90</v>
      </c>
      <c r="BW2354" t="s">
        <v>188</v>
      </c>
      <c r="BX2354" t="s">
        <v>2043</v>
      </c>
      <c r="BY2354">
        <v>1200</v>
      </c>
      <c r="CC2354" t="s">
        <v>207</v>
      </c>
      <c r="CD2354">
        <v>7530</v>
      </c>
      <c r="CE2354" t="s">
        <v>147</v>
      </c>
      <c r="CF2354" s="3">
        <v>45954</v>
      </c>
      <c r="CI2354">
        <v>1</v>
      </c>
      <c r="CJ2354">
        <v>2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"080068650110"</f>
        <v>080068650110</v>
      </c>
      <c r="F2355" s="3">
        <v>45951</v>
      </c>
      <c r="G2355">
        <v>202607</v>
      </c>
      <c r="H2355" t="s">
        <v>79</v>
      </c>
      <c r="I2355" t="s">
        <v>80</v>
      </c>
      <c r="J2355" t="s">
        <v>91</v>
      </c>
      <c r="K2355" t="s">
        <v>78</v>
      </c>
      <c r="L2355" t="s">
        <v>271</v>
      </c>
      <c r="M2355" t="s">
        <v>272</v>
      </c>
      <c r="N2355" t="s">
        <v>277</v>
      </c>
      <c r="O2355" t="s">
        <v>82</v>
      </c>
      <c r="P2355" t="str">
        <f>"4170064993                    "</f>
        <v xml:space="preserve">4170064993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17.46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2.6</v>
      </c>
      <c r="BJ2355">
        <v>0.9</v>
      </c>
      <c r="BK2355">
        <v>3</v>
      </c>
      <c r="BL2355">
        <v>55.42</v>
      </c>
      <c r="BM2355">
        <v>8.31</v>
      </c>
      <c r="BN2355">
        <v>63.73</v>
      </c>
      <c r="BO2355">
        <v>63.73</v>
      </c>
      <c r="BQ2355" t="s">
        <v>278</v>
      </c>
      <c r="BR2355" t="s">
        <v>97</v>
      </c>
      <c r="BS2355" s="3">
        <v>45952</v>
      </c>
      <c r="BT2355" s="4">
        <v>0.43680555555555556</v>
      </c>
      <c r="BU2355" t="s">
        <v>2944</v>
      </c>
      <c r="BV2355" t="s">
        <v>86</v>
      </c>
      <c r="BY2355">
        <v>4416.12</v>
      </c>
      <c r="CA2355" t="s">
        <v>1659</v>
      </c>
      <c r="CC2355" t="s">
        <v>272</v>
      </c>
      <c r="CD2355">
        <v>1401</v>
      </c>
      <c r="CE2355" t="s">
        <v>191</v>
      </c>
      <c r="CF2355" s="3">
        <v>45953</v>
      </c>
      <c r="CI2355">
        <v>1</v>
      </c>
      <c r="CJ2355">
        <v>1</v>
      </c>
      <c r="CK2355">
        <v>22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"080068650113"</f>
        <v>080068650113</v>
      </c>
      <c r="F2356" s="3">
        <v>45951</v>
      </c>
      <c r="G2356">
        <v>202607</v>
      </c>
      <c r="H2356" t="s">
        <v>79</v>
      </c>
      <c r="I2356" t="s">
        <v>80</v>
      </c>
      <c r="J2356" t="s">
        <v>91</v>
      </c>
      <c r="K2356" t="s">
        <v>78</v>
      </c>
      <c r="L2356" t="s">
        <v>168</v>
      </c>
      <c r="M2356" t="s">
        <v>169</v>
      </c>
      <c r="N2356" t="s">
        <v>2225</v>
      </c>
      <c r="O2356" t="s">
        <v>82</v>
      </c>
      <c r="P2356" t="str">
        <f>"4170065262                    "</f>
        <v xml:space="preserve">4170065262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22.36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70.959999999999994</v>
      </c>
      <c r="BM2356">
        <v>10.64</v>
      </c>
      <c r="BN2356">
        <v>81.599999999999994</v>
      </c>
      <c r="BO2356">
        <v>81.599999999999994</v>
      </c>
      <c r="BQ2356" t="s">
        <v>2226</v>
      </c>
      <c r="BR2356" t="s">
        <v>97</v>
      </c>
      <c r="BS2356" s="3">
        <v>45952</v>
      </c>
      <c r="BT2356" s="4">
        <v>0.41249999999999998</v>
      </c>
      <c r="BU2356" t="s">
        <v>925</v>
      </c>
      <c r="BV2356" t="s">
        <v>86</v>
      </c>
      <c r="BY2356">
        <v>1200</v>
      </c>
      <c r="CA2356">
        <v>9103185460089</v>
      </c>
      <c r="CC2356" t="s">
        <v>169</v>
      </c>
      <c r="CD2356" s="5" t="s">
        <v>1061</v>
      </c>
      <c r="CE2356" t="s">
        <v>147</v>
      </c>
      <c r="CF2356" s="3">
        <v>45952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"080068650135"</f>
        <v>080068650135</v>
      </c>
      <c r="F2357" s="3">
        <v>45951</v>
      </c>
      <c r="G2357">
        <v>202607</v>
      </c>
      <c r="H2357" t="s">
        <v>79</v>
      </c>
      <c r="I2357" t="s">
        <v>80</v>
      </c>
      <c r="J2357" t="s">
        <v>91</v>
      </c>
      <c r="K2357" t="s">
        <v>78</v>
      </c>
      <c r="L2357" t="s">
        <v>114</v>
      </c>
      <c r="M2357" t="s">
        <v>115</v>
      </c>
      <c r="N2357" t="s">
        <v>881</v>
      </c>
      <c r="O2357" t="s">
        <v>82</v>
      </c>
      <c r="P2357" t="str">
        <f>"4170065257                    "</f>
        <v xml:space="preserve">4170065257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22.36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70.959999999999994</v>
      </c>
      <c r="BM2357">
        <v>10.64</v>
      </c>
      <c r="BN2357">
        <v>81.599999999999994</v>
      </c>
      <c r="BO2357">
        <v>81.599999999999994</v>
      </c>
      <c r="BQ2357" t="s">
        <v>882</v>
      </c>
      <c r="BR2357" t="s">
        <v>97</v>
      </c>
      <c r="BS2357" s="3">
        <v>45952</v>
      </c>
      <c r="BT2357" s="4">
        <v>0.48749999999999999</v>
      </c>
      <c r="BU2357" t="s">
        <v>2945</v>
      </c>
      <c r="BV2357" t="s">
        <v>90</v>
      </c>
      <c r="BY2357">
        <v>1200</v>
      </c>
      <c r="CA2357" t="s">
        <v>749</v>
      </c>
      <c r="CC2357" t="s">
        <v>115</v>
      </c>
      <c r="CD2357">
        <v>5201</v>
      </c>
      <c r="CE2357" t="s">
        <v>147</v>
      </c>
      <c r="CF2357" s="3">
        <v>45953</v>
      </c>
      <c r="CI2357">
        <v>1</v>
      </c>
      <c r="CJ2357">
        <v>1</v>
      </c>
      <c r="CK2357">
        <v>21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"080068650152"</f>
        <v>080068650152</v>
      </c>
      <c r="F2358" s="3">
        <v>45951</v>
      </c>
      <c r="G2358">
        <v>202607</v>
      </c>
      <c r="H2358" t="s">
        <v>79</v>
      </c>
      <c r="I2358" t="s">
        <v>80</v>
      </c>
      <c r="J2358" t="s">
        <v>91</v>
      </c>
      <c r="K2358" t="s">
        <v>78</v>
      </c>
      <c r="L2358" t="s">
        <v>453</v>
      </c>
      <c r="M2358" t="s">
        <v>454</v>
      </c>
      <c r="N2358" t="s">
        <v>665</v>
      </c>
      <c r="O2358" t="s">
        <v>82</v>
      </c>
      <c r="P2358" t="str">
        <f>"4170065254                    "</f>
        <v xml:space="preserve">4170065254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100.54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9</v>
      </c>
      <c r="BJ2358">
        <v>4.5</v>
      </c>
      <c r="BK2358">
        <v>9</v>
      </c>
      <c r="BL2358">
        <v>319.10000000000002</v>
      </c>
      <c r="BM2358">
        <v>47.87</v>
      </c>
      <c r="BN2358">
        <v>366.97</v>
      </c>
      <c r="BO2358">
        <v>366.97</v>
      </c>
      <c r="BQ2358" t="s">
        <v>666</v>
      </c>
      <c r="BR2358" t="s">
        <v>97</v>
      </c>
      <c r="BS2358" s="3">
        <v>45952</v>
      </c>
      <c r="BT2358" s="4">
        <v>0.47638888888888886</v>
      </c>
      <c r="BU2358" t="s">
        <v>2854</v>
      </c>
      <c r="BV2358" t="s">
        <v>86</v>
      </c>
      <c r="BY2358">
        <v>22272</v>
      </c>
      <c r="CA2358" t="s">
        <v>742</v>
      </c>
      <c r="CC2358" t="s">
        <v>454</v>
      </c>
      <c r="CD2358">
        <v>3610</v>
      </c>
      <c r="CE2358" t="s">
        <v>107</v>
      </c>
      <c r="CF2358" s="3">
        <v>45952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"080068650156"</f>
        <v>080068650156</v>
      </c>
      <c r="F2359" s="3">
        <v>45951</v>
      </c>
      <c r="G2359">
        <v>202607</v>
      </c>
      <c r="H2359" t="s">
        <v>79</v>
      </c>
      <c r="I2359" t="s">
        <v>80</v>
      </c>
      <c r="J2359" t="s">
        <v>91</v>
      </c>
      <c r="K2359" t="s">
        <v>78</v>
      </c>
      <c r="L2359" t="s">
        <v>148</v>
      </c>
      <c r="M2359" t="s">
        <v>149</v>
      </c>
      <c r="N2359" t="s">
        <v>1563</v>
      </c>
      <c r="O2359" t="s">
        <v>82</v>
      </c>
      <c r="P2359" t="str">
        <f>"4170065265                    "</f>
        <v xml:space="preserve">4170065265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17.46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55.42</v>
      </c>
      <c r="BM2359">
        <v>8.31</v>
      </c>
      <c r="BN2359">
        <v>63.73</v>
      </c>
      <c r="BO2359">
        <v>63.73</v>
      </c>
      <c r="BQ2359" t="s">
        <v>1564</v>
      </c>
      <c r="BR2359" t="s">
        <v>97</v>
      </c>
      <c r="BS2359" s="3">
        <v>45952</v>
      </c>
      <c r="BT2359" s="4">
        <v>0.36805555555555558</v>
      </c>
      <c r="BU2359" t="s">
        <v>2410</v>
      </c>
      <c r="BV2359" t="s">
        <v>86</v>
      </c>
      <c r="BY2359">
        <v>1200</v>
      </c>
      <c r="CA2359" t="s">
        <v>2853</v>
      </c>
      <c r="CC2359" t="s">
        <v>149</v>
      </c>
      <c r="CD2359">
        <v>2094</v>
      </c>
      <c r="CE2359" t="s">
        <v>147</v>
      </c>
      <c r="CF2359" s="3">
        <v>45954</v>
      </c>
      <c r="CI2359">
        <v>1</v>
      </c>
      <c r="CJ2359">
        <v>1</v>
      </c>
      <c r="CK2359">
        <v>22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"080068650178"</f>
        <v>080068650178</v>
      </c>
      <c r="F2360" s="3">
        <v>45951</v>
      </c>
      <c r="G2360">
        <v>202607</v>
      </c>
      <c r="H2360" t="s">
        <v>79</v>
      </c>
      <c r="I2360" t="s">
        <v>80</v>
      </c>
      <c r="J2360" t="s">
        <v>91</v>
      </c>
      <c r="K2360" t="s">
        <v>78</v>
      </c>
      <c r="L2360" t="s">
        <v>218</v>
      </c>
      <c r="M2360" t="s">
        <v>219</v>
      </c>
      <c r="N2360" t="s">
        <v>2140</v>
      </c>
      <c r="O2360" t="s">
        <v>82</v>
      </c>
      <c r="P2360" t="str">
        <f>"4170065239                    "</f>
        <v xml:space="preserve">4170065239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17.46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55.42</v>
      </c>
      <c r="BM2360">
        <v>8.31</v>
      </c>
      <c r="BN2360">
        <v>63.73</v>
      </c>
      <c r="BO2360">
        <v>63.73</v>
      </c>
      <c r="BQ2360" t="s">
        <v>2141</v>
      </c>
      <c r="BR2360" t="s">
        <v>97</v>
      </c>
      <c r="BS2360" s="3">
        <v>45952</v>
      </c>
      <c r="BT2360" s="4">
        <v>0.3611111111111111</v>
      </c>
      <c r="BU2360" t="s">
        <v>2946</v>
      </c>
      <c r="BV2360" t="s">
        <v>86</v>
      </c>
      <c r="BY2360">
        <v>1200</v>
      </c>
      <c r="CA2360" t="s">
        <v>1434</v>
      </c>
      <c r="CC2360" t="s">
        <v>219</v>
      </c>
      <c r="CD2360">
        <v>1559</v>
      </c>
      <c r="CE2360" t="s">
        <v>147</v>
      </c>
      <c r="CF2360" s="3">
        <v>45952</v>
      </c>
      <c r="CI2360">
        <v>1</v>
      </c>
      <c r="CJ2360">
        <v>1</v>
      </c>
      <c r="CK2360">
        <v>22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"080068650193"</f>
        <v>080068650193</v>
      </c>
      <c r="F2361" s="3">
        <v>45951</v>
      </c>
      <c r="G2361">
        <v>202607</v>
      </c>
      <c r="H2361" t="s">
        <v>79</v>
      </c>
      <c r="I2361" t="s">
        <v>80</v>
      </c>
      <c r="J2361" t="s">
        <v>91</v>
      </c>
      <c r="K2361" t="s">
        <v>78</v>
      </c>
      <c r="L2361" t="s">
        <v>1736</v>
      </c>
      <c r="M2361" t="s">
        <v>1737</v>
      </c>
      <c r="N2361" t="s">
        <v>1738</v>
      </c>
      <c r="O2361" t="s">
        <v>82</v>
      </c>
      <c r="P2361" t="str">
        <f>"4170065231                    "</f>
        <v xml:space="preserve">4170065231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22.36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70.959999999999994</v>
      </c>
      <c r="BM2361">
        <v>10.64</v>
      </c>
      <c r="BN2361">
        <v>81.599999999999994</v>
      </c>
      <c r="BO2361">
        <v>81.599999999999994</v>
      </c>
      <c r="BQ2361" t="s">
        <v>1739</v>
      </c>
      <c r="BR2361" t="s">
        <v>97</v>
      </c>
      <c r="BS2361" s="3">
        <v>45952</v>
      </c>
      <c r="BT2361" s="4">
        <v>0.37291666666666667</v>
      </c>
      <c r="BU2361" t="s">
        <v>1740</v>
      </c>
      <c r="BV2361" t="s">
        <v>86</v>
      </c>
      <c r="BY2361">
        <v>1200</v>
      </c>
      <c r="CA2361" t="s">
        <v>157</v>
      </c>
      <c r="CC2361" t="s">
        <v>1737</v>
      </c>
      <c r="CD2361">
        <v>4026</v>
      </c>
      <c r="CE2361" t="s">
        <v>147</v>
      </c>
      <c r="CF2361" s="3">
        <v>45953</v>
      </c>
      <c r="CI2361">
        <v>1</v>
      </c>
      <c r="CJ2361">
        <v>1</v>
      </c>
      <c r="CK2361">
        <v>21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"080068650212"</f>
        <v>080068650212</v>
      </c>
      <c r="F2362" s="3">
        <v>45951</v>
      </c>
      <c r="G2362">
        <v>202607</v>
      </c>
      <c r="H2362" t="s">
        <v>79</v>
      </c>
      <c r="I2362" t="s">
        <v>80</v>
      </c>
      <c r="J2362" t="s">
        <v>91</v>
      </c>
      <c r="K2362" t="s">
        <v>78</v>
      </c>
      <c r="L2362" t="s">
        <v>148</v>
      </c>
      <c r="M2362" t="s">
        <v>149</v>
      </c>
      <c r="N2362" t="s">
        <v>2947</v>
      </c>
      <c r="O2362" t="s">
        <v>95</v>
      </c>
      <c r="P2362" t="str">
        <f>"4170065272                    "</f>
        <v xml:space="preserve">4170065272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36.28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2</v>
      </c>
      <c r="BI2362">
        <v>12.6</v>
      </c>
      <c r="BJ2362">
        <v>17.5</v>
      </c>
      <c r="BK2362">
        <v>18</v>
      </c>
      <c r="BL2362">
        <v>121.03</v>
      </c>
      <c r="BM2362">
        <v>18.149999999999999</v>
      </c>
      <c r="BN2362">
        <v>139.18</v>
      </c>
      <c r="BO2362">
        <v>139.18</v>
      </c>
      <c r="BQ2362" t="s">
        <v>2948</v>
      </c>
      <c r="BR2362" t="s">
        <v>97</v>
      </c>
      <c r="BS2362" s="3">
        <v>45952</v>
      </c>
      <c r="BT2362" s="4">
        <v>0.37847222222222221</v>
      </c>
      <c r="BU2362" t="s">
        <v>2949</v>
      </c>
      <c r="BV2362" t="s">
        <v>86</v>
      </c>
      <c r="BY2362">
        <v>87527.2</v>
      </c>
      <c r="CA2362" t="s">
        <v>1463</v>
      </c>
      <c r="CC2362" t="s">
        <v>149</v>
      </c>
      <c r="CD2362">
        <v>2013</v>
      </c>
      <c r="CE2362" t="s">
        <v>107</v>
      </c>
      <c r="CF2362" s="3">
        <v>45952</v>
      </c>
      <c r="CI2362">
        <v>1</v>
      </c>
      <c r="CJ2362">
        <v>1</v>
      </c>
      <c r="CK2362">
        <v>42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"080068650221"</f>
        <v>080068650221</v>
      </c>
      <c r="F2363" s="3">
        <v>45951</v>
      </c>
      <c r="G2363">
        <v>202607</v>
      </c>
      <c r="H2363" t="s">
        <v>79</v>
      </c>
      <c r="I2363" t="s">
        <v>80</v>
      </c>
      <c r="J2363" t="s">
        <v>91</v>
      </c>
      <c r="K2363" t="s">
        <v>78</v>
      </c>
      <c r="L2363" t="s">
        <v>206</v>
      </c>
      <c r="M2363" t="s">
        <v>207</v>
      </c>
      <c r="N2363" t="s">
        <v>361</v>
      </c>
      <c r="O2363" t="s">
        <v>82</v>
      </c>
      <c r="P2363" t="str">
        <f>"4170065312                    "</f>
        <v xml:space="preserve">4170065312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22.36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70.959999999999994</v>
      </c>
      <c r="BM2363">
        <v>10.64</v>
      </c>
      <c r="BN2363">
        <v>81.599999999999994</v>
      </c>
      <c r="BO2363">
        <v>81.599999999999994</v>
      </c>
      <c r="BQ2363" t="s">
        <v>362</v>
      </c>
      <c r="BR2363" t="s">
        <v>97</v>
      </c>
      <c r="BS2363" s="3">
        <v>45952</v>
      </c>
      <c r="BT2363" s="4">
        <v>0.43472222222222223</v>
      </c>
      <c r="BU2363" t="s">
        <v>2913</v>
      </c>
      <c r="BV2363" t="s">
        <v>86</v>
      </c>
      <c r="BY2363">
        <v>1200</v>
      </c>
      <c r="CA2363" t="s">
        <v>364</v>
      </c>
      <c r="CC2363" t="s">
        <v>207</v>
      </c>
      <c r="CD2363">
        <v>7535</v>
      </c>
      <c r="CE2363" t="s">
        <v>147</v>
      </c>
      <c r="CF2363" s="3">
        <v>45953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"080068650243"</f>
        <v>080068650243</v>
      </c>
      <c r="F2364" s="3">
        <v>45951</v>
      </c>
      <c r="G2364">
        <v>202607</v>
      </c>
      <c r="H2364" t="s">
        <v>79</v>
      </c>
      <c r="I2364" t="s">
        <v>80</v>
      </c>
      <c r="J2364" t="s">
        <v>91</v>
      </c>
      <c r="K2364" t="s">
        <v>78</v>
      </c>
      <c r="L2364" t="s">
        <v>108</v>
      </c>
      <c r="M2364" t="s">
        <v>109</v>
      </c>
      <c r="N2364" t="s">
        <v>2931</v>
      </c>
      <c r="O2364" t="s">
        <v>82</v>
      </c>
      <c r="P2364" t="str">
        <f>"4170065210                    "</f>
        <v xml:space="preserve">4170065210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22.36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70.959999999999994</v>
      </c>
      <c r="BM2364">
        <v>10.64</v>
      </c>
      <c r="BN2364">
        <v>81.599999999999994</v>
      </c>
      <c r="BO2364">
        <v>81.599999999999994</v>
      </c>
      <c r="BQ2364" t="s">
        <v>2932</v>
      </c>
      <c r="BR2364" t="s">
        <v>97</v>
      </c>
      <c r="BS2364" s="3">
        <v>45952</v>
      </c>
      <c r="BT2364" s="4">
        <v>0.38263888888888886</v>
      </c>
      <c r="BU2364" t="s">
        <v>2933</v>
      </c>
      <c r="BV2364" t="s">
        <v>86</v>
      </c>
      <c r="BY2364">
        <v>1200</v>
      </c>
      <c r="CA2364" t="s">
        <v>142</v>
      </c>
      <c r="CC2364" t="s">
        <v>109</v>
      </c>
      <c r="CD2364">
        <v>6001</v>
      </c>
      <c r="CE2364" t="s">
        <v>147</v>
      </c>
      <c r="CF2364" s="3">
        <v>45952</v>
      </c>
      <c r="CI2364">
        <v>1</v>
      </c>
      <c r="CJ2364">
        <v>1</v>
      </c>
      <c r="CK2364">
        <v>21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"080068650250"</f>
        <v>080068650250</v>
      </c>
      <c r="F2365" s="3">
        <v>45951</v>
      </c>
      <c r="G2365">
        <v>202607</v>
      </c>
      <c r="H2365" t="s">
        <v>79</v>
      </c>
      <c r="I2365" t="s">
        <v>80</v>
      </c>
      <c r="J2365" t="s">
        <v>91</v>
      </c>
      <c r="K2365" t="s">
        <v>78</v>
      </c>
      <c r="L2365" t="s">
        <v>148</v>
      </c>
      <c r="M2365" t="s">
        <v>149</v>
      </c>
      <c r="N2365" t="s">
        <v>2275</v>
      </c>
      <c r="O2365" t="s">
        <v>95</v>
      </c>
      <c r="P2365" t="str">
        <f>"4170065245                    "</f>
        <v xml:space="preserve">4170065245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38.24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7.9</v>
      </c>
      <c r="BJ2365">
        <v>19.2</v>
      </c>
      <c r="BK2365">
        <v>20</v>
      </c>
      <c r="BL2365">
        <v>127.23</v>
      </c>
      <c r="BM2365">
        <v>19.079999999999998</v>
      </c>
      <c r="BN2365">
        <v>146.31</v>
      </c>
      <c r="BO2365">
        <v>146.31</v>
      </c>
      <c r="BQ2365" t="s">
        <v>2276</v>
      </c>
      <c r="BR2365" t="s">
        <v>97</v>
      </c>
      <c r="BS2365" s="3">
        <v>45952</v>
      </c>
      <c r="BT2365" s="4">
        <v>0.35416666666666669</v>
      </c>
      <c r="BU2365" t="s">
        <v>2277</v>
      </c>
      <c r="BV2365" t="s">
        <v>86</v>
      </c>
      <c r="BY2365">
        <v>96055.23</v>
      </c>
      <c r="CA2365" t="s">
        <v>1463</v>
      </c>
      <c r="CC2365" t="s">
        <v>149</v>
      </c>
      <c r="CD2365">
        <v>2190</v>
      </c>
      <c r="CE2365" t="s">
        <v>107</v>
      </c>
      <c r="CF2365" s="3">
        <v>45952</v>
      </c>
      <c r="CI2365">
        <v>1</v>
      </c>
      <c r="CJ2365">
        <v>1</v>
      </c>
      <c r="CK2365">
        <v>42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"080068650268"</f>
        <v>080068650268</v>
      </c>
      <c r="F2366" s="3">
        <v>45951</v>
      </c>
      <c r="G2366">
        <v>202607</v>
      </c>
      <c r="H2366" t="s">
        <v>79</v>
      </c>
      <c r="I2366" t="s">
        <v>80</v>
      </c>
      <c r="J2366" t="s">
        <v>91</v>
      </c>
      <c r="K2366" t="s">
        <v>78</v>
      </c>
      <c r="L2366" t="s">
        <v>453</v>
      </c>
      <c r="M2366" t="s">
        <v>454</v>
      </c>
      <c r="N2366" t="s">
        <v>639</v>
      </c>
      <c r="O2366" t="s">
        <v>82</v>
      </c>
      <c r="P2366" t="str">
        <f>"4170065261                    "</f>
        <v xml:space="preserve">4170065261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22.36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70.959999999999994</v>
      </c>
      <c r="BM2366">
        <v>10.64</v>
      </c>
      <c r="BN2366">
        <v>81.599999999999994</v>
      </c>
      <c r="BO2366">
        <v>81.599999999999994</v>
      </c>
      <c r="BQ2366" t="s">
        <v>640</v>
      </c>
      <c r="BR2366" t="s">
        <v>97</v>
      </c>
      <c r="BS2366" s="3">
        <v>45952</v>
      </c>
      <c r="BT2366" s="4">
        <v>0.38958333333333334</v>
      </c>
      <c r="BU2366" t="s">
        <v>641</v>
      </c>
      <c r="BV2366" t="s">
        <v>86</v>
      </c>
      <c r="BY2366">
        <v>1200</v>
      </c>
      <c r="CA2366" t="s">
        <v>457</v>
      </c>
      <c r="CC2366" t="s">
        <v>454</v>
      </c>
      <c r="CD2366">
        <v>3610</v>
      </c>
      <c r="CE2366" t="s">
        <v>147</v>
      </c>
      <c r="CF2366" s="3">
        <v>45952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"080068650392"</f>
        <v>080068650392</v>
      </c>
      <c r="F2367" s="3">
        <v>45951</v>
      </c>
      <c r="G2367">
        <v>202607</v>
      </c>
      <c r="H2367" t="s">
        <v>79</v>
      </c>
      <c r="I2367" t="s">
        <v>80</v>
      </c>
      <c r="J2367" t="s">
        <v>91</v>
      </c>
      <c r="K2367" t="s">
        <v>78</v>
      </c>
      <c r="L2367" t="s">
        <v>322</v>
      </c>
      <c r="M2367" t="s">
        <v>322</v>
      </c>
      <c r="N2367" t="s">
        <v>2950</v>
      </c>
      <c r="O2367" t="s">
        <v>82</v>
      </c>
      <c r="P2367" t="str">
        <f>"4170065267                    "</f>
        <v xml:space="preserve">4170065267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82.43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4</v>
      </c>
      <c r="BJ2367">
        <v>1.9</v>
      </c>
      <c r="BK2367">
        <v>4</v>
      </c>
      <c r="BL2367">
        <v>261.63</v>
      </c>
      <c r="BM2367">
        <v>39.24</v>
      </c>
      <c r="BN2367">
        <v>300.87</v>
      </c>
      <c r="BO2367">
        <v>300.87</v>
      </c>
      <c r="BQ2367" t="s">
        <v>2951</v>
      </c>
      <c r="BR2367" t="s">
        <v>97</v>
      </c>
      <c r="BS2367" s="3">
        <v>45952</v>
      </c>
      <c r="BT2367" s="4">
        <v>0.53263888888888888</v>
      </c>
      <c r="BU2367" t="s">
        <v>2952</v>
      </c>
      <c r="BV2367" t="s">
        <v>86</v>
      </c>
      <c r="BY2367">
        <v>9600</v>
      </c>
      <c r="CA2367" t="s">
        <v>326</v>
      </c>
      <c r="CC2367" t="s">
        <v>322</v>
      </c>
      <c r="CD2367">
        <v>7646</v>
      </c>
      <c r="CE2367" t="s">
        <v>191</v>
      </c>
      <c r="CF2367" s="3">
        <v>45953</v>
      </c>
      <c r="CI2367">
        <v>1</v>
      </c>
      <c r="CJ2367">
        <v>1</v>
      </c>
      <c r="CK2367">
        <v>23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"080068650697"</f>
        <v>080068650697</v>
      </c>
      <c r="F2368" s="3">
        <v>45951</v>
      </c>
      <c r="G2368">
        <v>202607</v>
      </c>
      <c r="H2368" t="s">
        <v>79</v>
      </c>
      <c r="I2368" t="s">
        <v>80</v>
      </c>
      <c r="J2368" t="s">
        <v>91</v>
      </c>
      <c r="K2368" t="s">
        <v>78</v>
      </c>
      <c r="L2368" t="s">
        <v>180</v>
      </c>
      <c r="M2368" t="s">
        <v>181</v>
      </c>
      <c r="N2368" t="s">
        <v>182</v>
      </c>
      <c r="O2368" t="s">
        <v>82</v>
      </c>
      <c r="P2368" t="str">
        <f>"4170065234                    "</f>
        <v xml:space="preserve">4170065234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43.31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</v>
      </c>
      <c r="BJ2368">
        <v>0.7</v>
      </c>
      <c r="BK2368">
        <v>2</v>
      </c>
      <c r="BL2368">
        <v>137.47</v>
      </c>
      <c r="BM2368">
        <v>20.62</v>
      </c>
      <c r="BN2368">
        <v>158.09</v>
      </c>
      <c r="BO2368">
        <v>158.09</v>
      </c>
      <c r="BQ2368" t="s">
        <v>183</v>
      </c>
      <c r="BR2368" t="s">
        <v>97</v>
      </c>
      <c r="BS2368" s="3">
        <v>45952</v>
      </c>
      <c r="BT2368" s="4">
        <v>0.56736111111111109</v>
      </c>
      <c r="BU2368" t="s">
        <v>2249</v>
      </c>
      <c r="BV2368" t="s">
        <v>86</v>
      </c>
      <c r="BY2368">
        <v>3306</v>
      </c>
      <c r="CA2368">
        <v>8410105735081</v>
      </c>
      <c r="CC2368" t="s">
        <v>181</v>
      </c>
      <c r="CD2368">
        <v>1028</v>
      </c>
      <c r="CE2368" t="s">
        <v>191</v>
      </c>
      <c r="CF2368" s="3">
        <v>45952</v>
      </c>
      <c r="CI2368">
        <v>1</v>
      </c>
      <c r="CJ2368">
        <v>1</v>
      </c>
      <c r="CK2368">
        <v>23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"080068650768"</f>
        <v>080068650768</v>
      </c>
      <c r="F2369" s="3">
        <v>45951</v>
      </c>
      <c r="G2369">
        <v>202607</v>
      </c>
      <c r="H2369" t="s">
        <v>79</v>
      </c>
      <c r="I2369" t="s">
        <v>80</v>
      </c>
      <c r="J2369" t="s">
        <v>91</v>
      </c>
      <c r="K2369" t="s">
        <v>78</v>
      </c>
      <c r="L2369" t="s">
        <v>530</v>
      </c>
      <c r="M2369" t="s">
        <v>531</v>
      </c>
      <c r="N2369" t="s">
        <v>1242</v>
      </c>
      <c r="O2369" t="s">
        <v>82</v>
      </c>
      <c r="P2369" t="str">
        <f>"4170065228                    "</f>
        <v xml:space="preserve">4170065228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43.31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1.9</v>
      </c>
      <c r="BK2369">
        <v>2</v>
      </c>
      <c r="BL2369">
        <v>137.47</v>
      </c>
      <c r="BM2369">
        <v>20.62</v>
      </c>
      <c r="BN2369">
        <v>158.09</v>
      </c>
      <c r="BO2369">
        <v>158.09</v>
      </c>
      <c r="BQ2369" t="s">
        <v>1243</v>
      </c>
      <c r="BR2369" t="s">
        <v>97</v>
      </c>
      <c r="BS2369" s="3">
        <v>45952</v>
      </c>
      <c r="BT2369" s="4">
        <v>0.51180555555555551</v>
      </c>
      <c r="BU2369" t="s">
        <v>2953</v>
      </c>
      <c r="BV2369" t="s">
        <v>86</v>
      </c>
      <c r="BY2369">
        <v>9600</v>
      </c>
      <c r="CA2369" t="s">
        <v>2954</v>
      </c>
      <c r="CC2369" t="s">
        <v>531</v>
      </c>
      <c r="CD2369">
        <v>6850</v>
      </c>
      <c r="CE2369" t="s">
        <v>191</v>
      </c>
      <c r="CF2369" s="3">
        <v>45953</v>
      </c>
      <c r="CI2369">
        <v>2</v>
      </c>
      <c r="CJ2369">
        <v>1</v>
      </c>
      <c r="CK2369">
        <v>23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"080068650805"</f>
        <v>080068650805</v>
      </c>
      <c r="F2370" s="3">
        <v>45951</v>
      </c>
      <c r="G2370">
        <v>202607</v>
      </c>
      <c r="H2370" t="s">
        <v>79</v>
      </c>
      <c r="I2370" t="s">
        <v>80</v>
      </c>
      <c r="J2370" t="s">
        <v>91</v>
      </c>
      <c r="K2370" t="s">
        <v>78</v>
      </c>
      <c r="L2370" t="s">
        <v>884</v>
      </c>
      <c r="M2370" t="s">
        <v>885</v>
      </c>
      <c r="N2370" t="s">
        <v>886</v>
      </c>
      <c r="O2370" t="s">
        <v>82</v>
      </c>
      <c r="P2370" t="str">
        <f>"4170065314                    "</f>
        <v xml:space="preserve">4170065314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92.21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4</v>
      </c>
      <c r="BJ2370">
        <v>4.3</v>
      </c>
      <c r="BK2370">
        <v>4.5</v>
      </c>
      <c r="BL2370">
        <v>292.67</v>
      </c>
      <c r="BM2370">
        <v>43.9</v>
      </c>
      <c r="BN2370">
        <v>336.57</v>
      </c>
      <c r="BO2370">
        <v>336.57</v>
      </c>
      <c r="BQ2370" t="s">
        <v>887</v>
      </c>
      <c r="BR2370" t="s">
        <v>97</v>
      </c>
      <c r="BS2370" s="3">
        <v>45952</v>
      </c>
      <c r="BT2370" s="4">
        <v>0.30208333333333331</v>
      </c>
      <c r="BU2370" t="s">
        <v>888</v>
      </c>
      <c r="BV2370" t="s">
        <v>86</v>
      </c>
      <c r="BY2370">
        <v>21489</v>
      </c>
      <c r="CC2370" t="s">
        <v>885</v>
      </c>
      <c r="CD2370">
        <v>2740</v>
      </c>
      <c r="CE2370" t="s">
        <v>191</v>
      </c>
      <c r="CF2370" s="3">
        <v>45953</v>
      </c>
      <c r="CI2370">
        <v>1</v>
      </c>
      <c r="CJ2370">
        <v>1</v>
      </c>
      <c r="CK2370">
        <v>23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"080068650838"</f>
        <v>080068650838</v>
      </c>
      <c r="F2371" s="3">
        <v>45951</v>
      </c>
      <c r="G2371">
        <v>202607</v>
      </c>
      <c r="H2371" t="s">
        <v>79</v>
      </c>
      <c r="I2371" t="s">
        <v>80</v>
      </c>
      <c r="J2371" t="s">
        <v>91</v>
      </c>
      <c r="K2371" t="s">
        <v>78</v>
      </c>
      <c r="L2371" t="s">
        <v>168</v>
      </c>
      <c r="M2371" t="s">
        <v>169</v>
      </c>
      <c r="N2371" t="s">
        <v>923</v>
      </c>
      <c r="O2371" t="s">
        <v>95</v>
      </c>
      <c r="P2371" t="str">
        <f>"4170065232                    "</f>
        <v xml:space="preserve">4170065232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43.23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13.7</v>
      </c>
      <c r="BJ2371">
        <v>5.0999999999999996</v>
      </c>
      <c r="BK2371">
        <v>14</v>
      </c>
      <c r="BL2371">
        <v>143.08000000000001</v>
      </c>
      <c r="BM2371">
        <v>21.46</v>
      </c>
      <c r="BN2371">
        <v>164.54</v>
      </c>
      <c r="BO2371">
        <v>164.54</v>
      </c>
      <c r="BQ2371" t="s">
        <v>924</v>
      </c>
      <c r="BR2371" t="s">
        <v>97</v>
      </c>
      <c r="BS2371" s="3">
        <v>45952</v>
      </c>
      <c r="BT2371" s="4">
        <v>0.57013888888888886</v>
      </c>
      <c r="BU2371" t="s">
        <v>1121</v>
      </c>
      <c r="BV2371" t="s">
        <v>86</v>
      </c>
      <c r="BY2371">
        <v>25584.75</v>
      </c>
      <c r="CA2371">
        <v>9107126013089</v>
      </c>
      <c r="CC2371" t="s">
        <v>169</v>
      </c>
      <c r="CD2371" s="5" t="s">
        <v>926</v>
      </c>
      <c r="CE2371" t="s">
        <v>107</v>
      </c>
      <c r="CF2371" s="3">
        <v>45952</v>
      </c>
      <c r="CI2371">
        <v>1</v>
      </c>
      <c r="CJ2371">
        <v>1</v>
      </c>
      <c r="CK2371">
        <v>41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"080068650858"</f>
        <v>080068650858</v>
      </c>
      <c r="F2372" s="3">
        <v>45951</v>
      </c>
      <c r="G2372">
        <v>202607</v>
      </c>
      <c r="H2372" t="s">
        <v>79</v>
      </c>
      <c r="I2372" t="s">
        <v>80</v>
      </c>
      <c r="J2372" t="s">
        <v>91</v>
      </c>
      <c r="K2372" t="s">
        <v>78</v>
      </c>
      <c r="L2372" t="s">
        <v>168</v>
      </c>
      <c r="M2372" t="s">
        <v>169</v>
      </c>
      <c r="N2372" t="s">
        <v>1182</v>
      </c>
      <c r="O2372" t="s">
        <v>82</v>
      </c>
      <c r="P2372" t="str">
        <f>"4170065270                    "</f>
        <v xml:space="preserve">4170065270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22.36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70.959999999999994</v>
      </c>
      <c r="BM2372">
        <v>10.64</v>
      </c>
      <c r="BN2372">
        <v>81.599999999999994</v>
      </c>
      <c r="BO2372">
        <v>81.599999999999994</v>
      </c>
      <c r="BQ2372" t="s">
        <v>1183</v>
      </c>
      <c r="BR2372" t="s">
        <v>97</v>
      </c>
      <c r="BS2372" s="3">
        <v>45952</v>
      </c>
      <c r="BT2372" s="4">
        <v>0.41666666666666669</v>
      </c>
      <c r="BU2372" t="s">
        <v>1820</v>
      </c>
      <c r="BV2372" t="s">
        <v>86</v>
      </c>
      <c r="BY2372">
        <v>1200</v>
      </c>
      <c r="CA2372">
        <v>8110305701087</v>
      </c>
      <c r="CC2372" t="s">
        <v>169</v>
      </c>
      <c r="CD2372" s="5" t="s">
        <v>1108</v>
      </c>
      <c r="CE2372" t="s">
        <v>1955</v>
      </c>
      <c r="CF2372" s="3">
        <v>45952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"080068650876"</f>
        <v>080068650876</v>
      </c>
      <c r="F2373" s="3">
        <v>45951</v>
      </c>
      <c r="G2373">
        <v>202607</v>
      </c>
      <c r="H2373" t="s">
        <v>79</v>
      </c>
      <c r="I2373" t="s">
        <v>80</v>
      </c>
      <c r="J2373" t="s">
        <v>91</v>
      </c>
      <c r="K2373" t="s">
        <v>78</v>
      </c>
      <c r="L2373" t="s">
        <v>168</v>
      </c>
      <c r="M2373" t="s">
        <v>169</v>
      </c>
      <c r="N2373" t="s">
        <v>1182</v>
      </c>
      <c r="O2373" t="s">
        <v>82</v>
      </c>
      <c r="P2373" t="str">
        <f>"4170065269                    "</f>
        <v xml:space="preserve">4170065269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22.36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70.959999999999994</v>
      </c>
      <c r="BM2373">
        <v>10.64</v>
      </c>
      <c r="BN2373">
        <v>81.599999999999994</v>
      </c>
      <c r="BO2373">
        <v>81.599999999999994</v>
      </c>
      <c r="BQ2373" t="s">
        <v>1183</v>
      </c>
      <c r="BR2373" t="s">
        <v>97</v>
      </c>
      <c r="BS2373" s="3">
        <v>45952</v>
      </c>
      <c r="BT2373" s="4">
        <v>0.41666666666666669</v>
      </c>
      <c r="BU2373" t="s">
        <v>1820</v>
      </c>
      <c r="BV2373" t="s">
        <v>86</v>
      </c>
      <c r="BY2373">
        <v>1200</v>
      </c>
      <c r="CA2373">
        <v>8110305701087</v>
      </c>
      <c r="CC2373" t="s">
        <v>169</v>
      </c>
      <c r="CD2373" s="5" t="s">
        <v>1108</v>
      </c>
      <c r="CE2373" t="s">
        <v>147</v>
      </c>
      <c r="CF2373" s="3">
        <v>45952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"080068651522"</f>
        <v>080068651522</v>
      </c>
      <c r="F2374" s="3">
        <v>45951</v>
      </c>
      <c r="G2374">
        <v>202607</v>
      </c>
      <c r="H2374" t="s">
        <v>79</v>
      </c>
      <c r="I2374" t="s">
        <v>80</v>
      </c>
      <c r="J2374" t="s">
        <v>91</v>
      </c>
      <c r="K2374" t="s">
        <v>78</v>
      </c>
      <c r="L2374" t="s">
        <v>79</v>
      </c>
      <c r="M2374" t="s">
        <v>80</v>
      </c>
      <c r="N2374" t="s">
        <v>577</v>
      </c>
      <c r="O2374" t="s">
        <v>82</v>
      </c>
      <c r="P2374" t="str">
        <f>"4170065276                    "</f>
        <v xml:space="preserve">4170065276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17.46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55.42</v>
      </c>
      <c r="BM2374">
        <v>8.31</v>
      </c>
      <c r="BN2374">
        <v>63.73</v>
      </c>
      <c r="BO2374">
        <v>63.73</v>
      </c>
      <c r="BQ2374" t="s">
        <v>578</v>
      </c>
      <c r="BR2374" t="s">
        <v>97</v>
      </c>
      <c r="BS2374" s="3">
        <v>45952</v>
      </c>
      <c r="BT2374" s="4">
        <v>0.38541666666666669</v>
      </c>
      <c r="BU2374" t="s">
        <v>579</v>
      </c>
      <c r="BV2374" t="s">
        <v>86</v>
      </c>
      <c r="BY2374">
        <v>1200</v>
      </c>
      <c r="CA2374" t="s">
        <v>580</v>
      </c>
      <c r="CC2374" t="s">
        <v>80</v>
      </c>
      <c r="CD2374">
        <v>1619</v>
      </c>
      <c r="CE2374" t="s">
        <v>147</v>
      </c>
      <c r="CF2374" s="3">
        <v>45953</v>
      </c>
      <c r="CI2374">
        <v>1</v>
      </c>
      <c r="CJ2374">
        <v>1</v>
      </c>
      <c r="CK2374">
        <v>22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"080068651556"</f>
        <v>080068651556</v>
      </c>
      <c r="F2375" s="3">
        <v>45951</v>
      </c>
      <c r="G2375">
        <v>202607</v>
      </c>
      <c r="H2375" t="s">
        <v>79</v>
      </c>
      <c r="I2375" t="s">
        <v>80</v>
      </c>
      <c r="J2375" t="s">
        <v>91</v>
      </c>
      <c r="K2375" t="s">
        <v>78</v>
      </c>
      <c r="L2375" t="s">
        <v>92</v>
      </c>
      <c r="M2375" t="s">
        <v>93</v>
      </c>
      <c r="N2375" t="s">
        <v>601</v>
      </c>
      <c r="O2375" t="s">
        <v>82</v>
      </c>
      <c r="P2375" t="str">
        <f>"4170065313                    "</f>
        <v xml:space="preserve">4170065313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44.69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3.7</v>
      </c>
      <c r="BJ2375">
        <v>3.5</v>
      </c>
      <c r="BK2375">
        <v>4</v>
      </c>
      <c r="BL2375">
        <v>141.85</v>
      </c>
      <c r="BM2375">
        <v>21.28</v>
      </c>
      <c r="BN2375">
        <v>163.13</v>
      </c>
      <c r="BO2375">
        <v>163.13</v>
      </c>
      <c r="BQ2375" t="s">
        <v>602</v>
      </c>
      <c r="BR2375" t="s">
        <v>97</v>
      </c>
      <c r="BS2375" s="3">
        <v>45952</v>
      </c>
      <c r="BT2375" s="4">
        <v>0.55833333333333335</v>
      </c>
      <c r="BU2375" t="s">
        <v>2955</v>
      </c>
      <c r="BV2375" t="s">
        <v>86</v>
      </c>
      <c r="BY2375">
        <v>17335.5</v>
      </c>
      <c r="CC2375" t="s">
        <v>93</v>
      </c>
      <c r="CD2375">
        <v>3212</v>
      </c>
      <c r="CE2375" t="s">
        <v>107</v>
      </c>
      <c r="CF2375" s="3">
        <v>45953</v>
      </c>
      <c r="CI2375">
        <v>2</v>
      </c>
      <c r="CJ2375">
        <v>1</v>
      </c>
      <c r="CK2375">
        <v>21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"080068652278"</f>
        <v>080068652278</v>
      </c>
      <c r="F2376" s="3">
        <v>45951</v>
      </c>
      <c r="G2376">
        <v>202607</v>
      </c>
      <c r="H2376" t="s">
        <v>79</v>
      </c>
      <c r="I2376" t="s">
        <v>80</v>
      </c>
      <c r="J2376" t="s">
        <v>91</v>
      </c>
      <c r="K2376" t="s">
        <v>78</v>
      </c>
      <c r="L2376" t="s">
        <v>206</v>
      </c>
      <c r="M2376" t="s">
        <v>207</v>
      </c>
      <c r="N2376" t="s">
        <v>2539</v>
      </c>
      <c r="O2376" t="s">
        <v>82</v>
      </c>
      <c r="P2376" t="str">
        <f>"4170064648                    "</f>
        <v xml:space="preserve">4170064648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22.36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0.9</v>
      </c>
      <c r="BK2376">
        <v>1</v>
      </c>
      <c r="BL2376">
        <v>70.959999999999994</v>
      </c>
      <c r="BM2376">
        <v>10.64</v>
      </c>
      <c r="BN2376">
        <v>81.599999999999994</v>
      </c>
      <c r="BO2376">
        <v>81.599999999999994</v>
      </c>
      <c r="BQ2376" t="s">
        <v>2540</v>
      </c>
      <c r="BR2376" t="s">
        <v>97</v>
      </c>
      <c r="BS2376" s="3">
        <v>45952</v>
      </c>
      <c r="BT2376" s="4">
        <v>0.50902777777777775</v>
      </c>
      <c r="BU2376" t="s">
        <v>2956</v>
      </c>
      <c r="BV2376" t="s">
        <v>90</v>
      </c>
      <c r="BW2376" t="s">
        <v>347</v>
      </c>
      <c r="BX2376" t="s">
        <v>1649</v>
      </c>
      <c r="BY2376">
        <v>4275</v>
      </c>
      <c r="CA2376" t="s">
        <v>461</v>
      </c>
      <c r="CC2376" t="s">
        <v>207</v>
      </c>
      <c r="CD2376">
        <v>7530</v>
      </c>
      <c r="CE2376" t="s">
        <v>191</v>
      </c>
      <c r="CF2376" s="3">
        <v>45953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"080068652306"</f>
        <v>080068652306</v>
      </c>
      <c r="F2377" s="3">
        <v>45951</v>
      </c>
      <c r="G2377">
        <v>202607</v>
      </c>
      <c r="H2377" t="s">
        <v>79</v>
      </c>
      <c r="I2377" t="s">
        <v>80</v>
      </c>
      <c r="J2377" t="s">
        <v>91</v>
      </c>
      <c r="K2377" t="s">
        <v>78</v>
      </c>
      <c r="L2377" t="s">
        <v>168</v>
      </c>
      <c r="M2377" t="s">
        <v>169</v>
      </c>
      <c r="N2377" t="s">
        <v>170</v>
      </c>
      <c r="O2377" t="s">
        <v>95</v>
      </c>
      <c r="P2377" t="str">
        <f>"4170065146                    "</f>
        <v xml:space="preserve">4170065146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77.14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2</v>
      </c>
      <c r="BI2377">
        <v>18.7</v>
      </c>
      <c r="BJ2377">
        <v>33.9</v>
      </c>
      <c r="BK2377">
        <v>34</v>
      </c>
      <c r="BL2377">
        <v>250.71</v>
      </c>
      <c r="BM2377">
        <v>37.61</v>
      </c>
      <c r="BN2377">
        <v>288.32</v>
      </c>
      <c r="BO2377">
        <v>288.32</v>
      </c>
      <c r="BQ2377" t="s">
        <v>171</v>
      </c>
      <c r="BR2377" t="s">
        <v>97</v>
      </c>
      <c r="BS2377" s="3">
        <v>45952</v>
      </c>
      <c r="BT2377" s="4">
        <v>0.36458333333333331</v>
      </c>
      <c r="BU2377" t="s">
        <v>2132</v>
      </c>
      <c r="BV2377" t="s">
        <v>86</v>
      </c>
      <c r="BY2377">
        <v>169303.2</v>
      </c>
      <c r="CA2377">
        <v>7712195338085</v>
      </c>
      <c r="CC2377" t="s">
        <v>169</v>
      </c>
      <c r="CD2377" s="5" t="s">
        <v>173</v>
      </c>
      <c r="CE2377" t="s">
        <v>191</v>
      </c>
      <c r="CF2377" s="3">
        <v>45952</v>
      </c>
      <c r="CI2377">
        <v>1</v>
      </c>
      <c r="CJ2377">
        <v>1</v>
      </c>
      <c r="CK2377">
        <v>41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"080068652347"</f>
        <v>080068652347</v>
      </c>
      <c r="F2378" s="3">
        <v>45951</v>
      </c>
      <c r="G2378">
        <v>202607</v>
      </c>
      <c r="H2378" t="s">
        <v>79</v>
      </c>
      <c r="I2378" t="s">
        <v>80</v>
      </c>
      <c r="J2378" t="s">
        <v>91</v>
      </c>
      <c r="K2378" t="s">
        <v>78</v>
      </c>
      <c r="L2378" t="s">
        <v>121</v>
      </c>
      <c r="M2378" t="s">
        <v>122</v>
      </c>
      <c r="N2378" t="s">
        <v>2957</v>
      </c>
      <c r="O2378" t="s">
        <v>82</v>
      </c>
      <c r="P2378" t="str">
        <f>"4170064647                    "</f>
        <v xml:space="preserve">4170064647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22.36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70.959999999999994</v>
      </c>
      <c r="BM2378">
        <v>10.64</v>
      </c>
      <c r="BN2378">
        <v>81.599999999999994</v>
      </c>
      <c r="BO2378">
        <v>81.599999999999994</v>
      </c>
      <c r="BQ2378" t="s">
        <v>2958</v>
      </c>
      <c r="BR2378" t="s">
        <v>97</v>
      </c>
      <c r="BS2378" s="3">
        <v>45952</v>
      </c>
      <c r="BT2378" s="4">
        <v>0.3923611111111111</v>
      </c>
      <c r="BU2378" t="s">
        <v>2494</v>
      </c>
      <c r="BV2378" t="s">
        <v>86</v>
      </c>
      <c r="BY2378">
        <v>1200</v>
      </c>
      <c r="CA2378" t="s">
        <v>331</v>
      </c>
      <c r="CC2378" t="s">
        <v>122</v>
      </c>
      <c r="CD2378">
        <v>4060</v>
      </c>
      <c r="CE2378" t="s">
        <v>147</v>
      </c>
      <c r="CF2378" s="3">
        <v>45952</v>
      </c>
      <c r="CI2378">
        <v>1</v>
      </c>
      <c r="CJ2378">
        <v>1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"080068652444"</f>
        <v>080068652444</v>
      </c>
      <c r="F2379" s="3">
        <v>45951</v>
      </c>
      <c r="G2379">
        <v>202607</v>
      </c>
      <c r="H2379" t="s">
        <v>79</v>
      </c>
      <c r="I2379" t="s">
        <v>80</v>
      </c>
      <c r="J2379" t="s">
        <v>91</v>
      </c>
      <c r="K2379" t="s">
        <v>78</v>
      </c>
      <c r="L2379" t="s">
        <v>763</v>
      </c>
      <c r="M2379" t="s">
        <v>764</v>
      </c>
      <c r="N2379" t="s">
        <v>765</v>
      </c>
      <c r="O2379" t="s">
        <v>82</v>
      </c>
      <c r="P2379" t="str">
        <f>"4170065271                    "</f>
        <v xml:space="preserve">4170065271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43.31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0.2</v>
      </c>
      <c r="BJ2379">
        <v>0.6</v>
      </c>
      <c r="BK2379">
        <v>1</v>
      </c>
      <c r="BL2379">
        <v>137.47</v>
      </c>
      <c r="BM2379">
        <v>20.62</v>
      </c>
      <c r="BN2379">
        <v>158.09</v>
      </c>
      <c r="BO2379">
        <v>158.09</v>
      </c>
      <c r="BQ2379" t="s">
        <v>766</v>
      </c>
      <c r="BR2379" t="s">
        <v>97</v>
      </c>
      <c r="BS2379" s="3">
        <v>45952</v>
      </c>
      <c r="BT2379" s="4">
        <v>0.47708333333333336</v>
      </c>
      <c r="BU2379" t="s">
        <v>1195</v>
      </c>
      <c r="BV2379" t="s">
        <v>86</v>
      </c>
      <c r="BY2379">
        <v>3178.13</v>
      </c>
      <c r="CA2379" t="s">
        <v>768</v>
      </c>
      <c r="CC2379" t="s">
        <v>764</v>
      </c>
      <c r="CD2379">
        <v>2531</v>
      </c>
      <c r="CE2379" t="s">
        <v>147</v>
      </c>
      <c r="CF2379" s="3">
        <v>45953</v>
      </c>
      <c r="CI2379">
        <v>1</v>
      </c>
      <c r="CJ2379">
        <v>1</v>
      </c>
      <c r="CK2379">
        <v>23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"080068652447"</f>
        <v>080068652447</v>
      </c>
      <c r="F2380" s="3">
        <v>45951</v>
      </c>
      <c r="G2380">
        <v>202607</v>
      </c>
      <c r="H2380" t="s">
        <v>79</v>
      </c>
      <c r="I2380" t="s">
        <v>80</v>
      </c>
      <c r="J2380" t="s">
        <v>91</v>
      </c>
      <c r="K2380" t="s">
        <v>78</v>
      </c>
      <c r="L2380" t="s">
        <v>79</v>
      </c>
      <c r="M2380" t="s">
        <v>80</v>
      </c>
      <c r="N2380" t="s">
        <v>1980</v>
      </c>
      <c r="O2380" t="s">
        <v>226</v>
      </c>
      <c r="P2380" t="str">
        <f>"4170065308                    "</f>
        <v xml:space="preserve">4170065308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19.43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8.1</v>
      </c>
      <c r="BJ2380">
        <v>8.1999999999999993</v>
      </c>
      <c r="BK2380">
        <v>9</v>
      </c>
      <c r="BL2380">
        <v>61.66</v>
      </c>
      <c r="BM2380">
        <v>9.25</v>
      </c>
      <c r="BN2380">
        <v>70.91</v>
      </c>
      <c r="BO2380">
        <v>70.91</v>
      </c>
      <c r="BQ2380" t="s">
        <v>1981</v>
      </c>
      <c r="BR2380" t="s">
        <v>97</v>
      </c>
      <c r="BS2380" s="3">
        <v>45952</v>
      </c>
      <c r="BT2380" s="4">
        <v>0.33333333333333331</v>
      </c>
      <c r="BU2380" t="s">
        <v>434</v>
      </c>
      <c r="BV2380" t="s">
        <v>86</v>
      </c>
      <c r="BY2380">
        <v>40857.599999999999</v>
      </c>
      <c r="CA2380" t="s">
        <v>166</v>
      </c>
      <c r="CC2380" t="s">
        <v>80</v>
      </c>
      <c r="CD2380">
        <v>1619</v>
      </c>
      <c r="CE2380" t="s">
        <v>191</v>
      </c>
      <c r="CF2380" s="3">
        <v>45953</v>
      </c>
      <c r="CI2380">
        <v>1</v>
      </c>
      <c r="CJ2380">
        <v>1</v>
      </c>
      <c r="CK2380">
        <v>32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"080068652468"</f>
        <v>080068652468</v>
      </c>
      <c r="F2381" s="3">
        <v>45951</v>
      </c>
      <c r="G2381">
        <v>202607</v>
      </c>
      <c r="H2381" t="s">
        <v>79</v>
      </c>
      <c r="I2381" t="s">
        <v>80</v>
      </c>
      <c r="J2381" t="s">
        <v>91</v>
      </c>
      <c r="K2381" t="s">
        <v>78</v>
      </c>
      <c r="L2381" t="s">
        <v>92</v>
      </c>
      <c r="M2381" t="s">
        <v>93</v>
      </c>
      <c r="N2381" t="s">
        <v>601</v>
      </c>
      <c r="O2381" t="s">
        <v>95</v>
      </c>
      <c r="P2381" t="str">
        <f>"4170065296                    "</f>
        <v xml:space="preserve">4170065296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100.34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13.5</v>
      </c>
      <c r="BJ2381">
        <v>46.9</v>
      </c>
      <c r="BK2381">
        <v>47</v>
      </c>
      <c r="BL2381">
        <v>324.35000000000002</v>
      </c>
      <c r="BM2381">
        <v>48.65</v>
      </c>
      <c r="BN2381">
        <v>373</v>
      </c>
      <c r="BO2381">
        <v>373</v>
      </c>
      <c r="BQ2381" t="s">
        <v>602</v>
      </c>
      <c r="BR2381" t="s">
        <v>97</v>
      </c>
      <c r="BS2381" s="3">
        <v>45953</v>
      </c>
      <c r="BT2381" s="4">
        <v>0.5</v>
      </c>
      <c r="BU2381" t="s">
        <v>2959</v>
      </c>
      <c r="BV2381" t="s">
        <v>86</v>
      </c>
      <c r="BY2381">
        <v>234724.8</v>
      </c>
      <c r="CC2381" t="s">
        <v>93</v>
      </c>
      <c r="CD2381">
        <v>3212</v>
      </c>
      <c r="CE2381" t="s">
        <v>191</v>
      </c>
      <c r="CF2381" s="3">
        <v>45954</v>
      </c>
      <c r="CI2381">
        <v>3</v>
      </c>
      <c r="CJ2381">
        <v>2</v>
      </c>
      <c r="CK2381">
        <v>41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"080068652473"</f>
        <v>080068652473</v>
      </c>
      <c r="F2382" s="3">
        <v>45951</v>
      </c>
      <c r="G2382">
        <v>202607</v>
      </c>
      <c r="H2382" t="s">
        <v>79</v>
      </c>
      <c r="I2382" t="s">
        <v>80</v>
      </c>
      <c r="J2382" t="s">
        <v>91</v>
      </c>
      <c r="K2382" t="s">
        <v>78</v>
      </c>
      <c r="L2382" t="s">
        <v>79</v>
      </c>
      <c r="M2382" t="s">
        <v>80</v>
      </c>
      <c r="N2382" t="s">
        <v>1980</v>
      </c>
      <c r="O2382" t="s">
        <v>226</v>
      </c>
      <c r="P2382" t="str">
        <f>"4170065311                    "</f>
        <v xml:space="preserve">4170065311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25.3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11.4</v>
      </c>
      <c r="BJ2382">
        <v>8.3000000000000007</v>
      </c>
      <c r="BK2382">
        <v>12</v>
      </c>
      <c r="BL2382">
        <v>80.31</v>
      </c>
      <c r="BM2382">
        <v>12.05</v>
      </c>
      <c r="BN2382">
        <v>92.36</v>
      </c>
      <c r="BO2382">
        <v>92.36</v>
      </c>
      <c r="BQ2382" t="s">
        <v>1981</v>
      </c>
      <c r="BR2382" t="s">
        <v>97</v>
      </c>
      <c r="BS2382" s="3">
        <v>45952</v>
      </c>
      <c r="BT2382" s="4">
        <v>0.33333333333333331</v>
      </c>
      <c r="BU2382" t="s">
        <v>434</v>
      </c>
      <c r="BV2382" t="s">
        <v>86</v>
      </c>
      <c r="BY2382">
        <v>41457.980000000003</v>
      </c>
      <c r="CA2382" t="s">
        <v>166</v>
      </c>
      <c r="CC2382" t="s">
        <v>80</v>
      </c>
      <c r="CD2382">
        <v>1619</v>
      </c>
      <c r="CE2382" t="s">
        <v>191</v>
      </c>
      <c r="CF2382" s="3">
        <v>45953</v>
      </c>
      <c r="CI2382">
        <v>1</v>
      </c>
      <c r="CJ2382">
        <v>1</v>
      </c>
      <c r="CK2382">
        <v>32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"080068652488"</f>
        <v>080068652488</v>
      </c>
      <c r="F2383" s="3">
        <v>45951</v>
      </c>
      <c r="G2383">
        <v>202607</v>
      </c>
      <c r="H2383" t="s">
        <v>79</v>
      </c>
      <c r="I2383" t="s">
        <v>80</v>
      </c>
      <c r="J2383" t="s">
        <v>91</v>
      </c>
      <c r="K2383" t="s">
        <v>78</v>
      </c>
      <c r="L2383" t="s">
        <v>79</v>
      </c>
      <c r="M2383" t="s">
        <v>80</v>
      </c>
      <c r="N2383" t="s">
        <v>1980</v>
      </c>
      <c r="O2383" t="s">
        <v>95</v>
      </c>
      <c r="P2383" t="str">
        <f>"4170065309                    "</f>
        <v xml:space="preserve">4170065309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39.21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20.9</v>
      </c>
      <c r="BJ2383">
        <v>8.5</v>
      </c>
      <c r="BK2383">
        <v>21</v>
      </c>
      <c r="BL2383">
        <v>130.32</v>
      </c>
      <c r="BM2383">
        <v>19.55</v>
      </c>
      <c r="BN2383">
        <v>149.87</v>
      </c>
      <c r="BO2383">
        <v>149.87</v>
      </c>
      <c r="BQ2383" t="s">
        <v>1981</v>
      </c>
      <c r="BR2383" t="s">
        <v>97</v>
      </c>
      <c r="BS2383" s="3">
        <v>45952</v>
      </c>
      <c r="BT2383" s="4">
        <v>0.33333333333333331</v>
      </c>
      <c r="BU2383" t="s">
        <v>434</v>
      </c>
      <c r="BV2383" t="s">
        <v>86</v>
      </c>
      <c r="BY2383">
        <v>42266.25</v>
      </c>
      <c r="CA2383" t="s">
        <v>166</v>
      </c>
      <c r="CC2383" t="s">
        <v>80</v>
      </c>
      <c r="CD2383">
        <v>1619</v>
      </c>
      <c r="CE2383" t="s">
        <v>191</v>
      </c>
      <c r="CF2383" s="3">
        <v>45953</v>
      </c>
      <c r="CI2383">
        <v>1</v>
      </c>
      <c r="CJ2383">
        <v>1</v>
      </c>
      <c r="CK2383">
        <v>42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"080068652501"</f>
        <v>080068652501</v>
      </c>
      <c r="F2384" s="3">
        <v>45951</v>
      </c>
      <c r="G2384">
        <v>202607</v>
      </c>
      <c r="H2384" t="s">
        <v>79</v>
      </c>
      <c r="I2384" t="s">
        <v>80</v>
      </c>
      <c r="J2384" t="s">
        <v>91</v>
      </c>
      <c r="K2384" t="s">
        <v>78</v>
      </c>
      <c r="L2384" t="s">
        <v>322</v>
      </c>
      <c r="M2384" t="s">
        <v>322</v>
      </c>
      <c r="N2384" t="s">
        <v>483</v>
      </c>
      <c r="O2384" t="s">
        <v>95</v>
      </c>
      <c r="P2384" t="str">
        <f>"4170065295                    "</f>
        <v xml:space="preserve">4170065295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120.14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12.6</v>
      </c>
      <c r="BJ2384">
        <v>34</v>
      </c>
      <c r="BK2384">
        <v>34</v>
      </c>
      <c r="BL2384">
        <v>387.19</v>
      </c>
      <c r="BM2384">
        <v>58.08</v>
      </c>
      <c r="BN2384">
        <v>445.27</v>
      </c>
      <c r="BO2384">
        <v>445.27</v>
      </c>
      <c r="BQ2384" t="s">
        <v>486</v>
      </c>
      <c r="BR2384" t="s">
        <v>97</v>
      </c>
      <c r="BS2384" s="3">
        <v>45953</v>
      </c>
      <c r="BT2384" s="4">
        <v>0.61875000000000002</v>
      </c>
      <c r="BU2384" t="s">
        <v>485</v>
      </c>
      <c r="BV2384" t="s">
        <v>86</v>
      </c>
      <c r="BY2384">
        <v>169885.8</v>
      </c>
      <c r="CA2384" t="s">
        <v>326</v>
      </c>
      <c r="CC2384" t="s">
        <v>322</v>
      </c>
      <c r="CD2384">
        <v>7646</v>
      </c>
      <c r="CE2384" t="s">
        <v>191</v>
      </c>
      <c r="CF2384" s="3">
        <v>45954</v>
      </c>
      <c r="CI2384">
        <v>3</v>
      </c>
      <c r="CJ2384">
        <v>2</v>
      </c>
      <c r="CK2384">
        <v>43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"080068652513"</f>
        <v>080068652513</v>
      </c>
      <c r="F2385" s="3">
        <v>45951</v>
      </c>
      <c r="G2385">
        <v>202607</v>
      </c>
      <c r="H2385" t="s">
        <v>79</v>
      </c>
      <c r="I2385" t="s">
        <v>80</v>
      </c>
      <c r="J2385" t="s">
        <v>91</v>
      </c>
      <c r="K2385" t="s">
        <v>78</v>
      </c>
      <c r="L2385" t="s">
        <v>233</v>
      </c>
      <c r="M2385" t="s">
        <v>234</v>
      </c>
      <c r="N2385" t="s">
        <v>235</v>
      </c>
      <c r="O2385" t="s">
        <v>82</v>
      </c>
      <c r="P2385" t="str">
        <f>"4170065303                    "</f>
        <v xml:space="preserve">4170065303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22.36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0.8</v>
      </c>
      <c r="BJ2385">
        <v>1.3</v>
      </c>
      <c r="BK2385">
        <v>1.5</v>
      </c>
      <c r="BL2385">
        <v>70.959999999999994</v>
      </c>
      <c r="BM2385">
        <v>10.64</v>
      </c>
      <c r="BN2385">
        <v>81.599999999999994</v>
      </c>
      <c r="BO2385">
        <v>81.599999999999994</v>
      </c>
      <c r="BQ2385" t="s">
        <v>236</v>
      </c>
      <c r="BR2385" t="s">
        <v>97</v>
      </c>
      <c r="BS2385" s="3">
        <v>45952</v>
      </c>
      <c r="BT2385" s="4">
        <v>0.37430555555555556</v>
      </c>
      <c r="BU2385" t="s">
        <v>1561</v>
      </c>
      <c r="BV2385" t="s">
        <v>86</v>
      </c>
      <c r="BY2385">
        <v>6642.24</v>
      </c>
      <c r="CA2385">
        <v>7104145194083</v>
      </c>
      <c r="CC2385" t="s">
        <v>234</v>
      </c>
      <c r="CD2385" s="5" t="s">
        <v>238</v>
      </c>
      <c r="CE2385" t="s">
        <v>191</v>
      </c>
      <c r="CF2385" s="3">
        <v>45952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"080068652526"</f>
        <v>080068652526</v>
      </c>
      <c r="F2386" s="3">
        <v>45951</v>
      </c>
      <c r="G2386">
        <v>202607</v>
      </c>
      <c r="H2386" t="s">
        <v>79</v>
      </c>
      <c r="I2386" t="s">
        <v>80</v>
      </c>
      <c r="J2386" t="s">
        <v>91</v>
      </c>
      <c r="K2386" t="s">
        <v>78</v>
      </c>
      <c r="L2386" t="s">
        <v>206</v>
      </c>
      <c r="M2386" t="s">
        <v>207</v>
      </c>
      <c r="N2386" t="s">
        <v>208</v>
      </c>
      <c r="O2386" t="s">
        <v>82</v>
      </c>
      <c r="P2386" t="str">
        <f>"4170065319                    "</f>
        <v xml:space="preserve">4170065319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50.28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3</v>
      </c>
      <c r="BJ2386">
        <v>4.5</v>
      </c>
      <c r="BK2386">
        <v>4.5</v>
      </c>
      <c r="BL2386">
        <v>159.58000000000001</v>
      </c>
      <c r="BM2386">
        <v>23.94</v>
      </c>
      <c r="BN2386">
        <v>183.52</v>
      </c>
      <c r="BO2386">
        <v>183.52</v>
      </c>
      <c r="BQ2386" t="s">
        <v>209</v>
      </c>
      <c r="BR2386" t="s">
        <v>97</v>
      </c>
      <c r="BS2386" s="3">
        <v>45952</v>
      </c>
      <c r="BT2386" s="4">
        <v>0.38055555555555554</v>
      </c>
      <c r="BU2386" t="s">
        <v>1732</v>
      </c>
      <c r="BV2386" t="s">
        <v>86</v>
      </c>
      <c r="BY2386">
        <v>22620</v>
      </c>
      <c r="CA2386" t="s">
        <v>211</v>
      </c>
      <c r="CC2386" t="s">
        <v>207</v>
      </c>
      <c r="CD2386">
        <v>7441</v>
      </c>
      <c r="CE2386" t="s">
        <v>191</v>
      </c>
      <c r="CF2386" s="3">
        <v>45953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"080068652540"</f>
        <v>080068652540</v>
      </c>
      <c r="F2387" s="3">
        <v>45951</v>
      </c>
      <c r="G2387">
        <v>202607</v>
      </c>
      <c r="H2387" t="s">
        <v>79</v>
      </c>
      <c r="I2387" t="s">
        <v>80</v>
      </c>
      <c r="J2387" t="s">
        <v>91</v>
      </c>
      <c r="K2387" t="s">
        <v>78</v>
      </c>
      <c r="L2387" t="s">
        <v>271</v>
      </c>
      <c r="M2387" t="s">
        <v>272</v>
      </c>
      <c r="N2387" t="s">
        <v>678</v>
      </c>
      <c r="O2387" t="s">
        <v>226</v>
      </c>
      <c r="P2387" t="str">
        <f>"4170065299                    "</f>
        <v xml:space="preserve">4170065299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21.39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5.6</v>
      </c>
      <c r="BJ2387">
        <v>9.1999999999999993</v>
      </c>
      <c r="BK2387">
        <v>10</v>
      </c>
      <c r="BL2387">
        <v>67.88</v>
      </c>
      <c r="BM2387">
        <v>10.18</v>
      </c>
      <c r="BN2387">
        <v>78.06</v>
      </c>
      <c r="BO2387">
        <v>78.06</v>
      </c>
      <c r="BQ2387" t="s">
        <v>679</v>
      </c>
      <c r="BR2387" t="s">
        <v>97</v>
      </c>
      <c r="BS2387" s="3">
        <v>45952</v>
      </c>
      <c r="BT2387" s="4">
        <v>0.46805555555555556</v>
      </c>
      <c r="BU2387" t="s">
        <v>2960</v>
      </c>
      <c r="BV2387" t="s">
        <v>86</v>
      </c>
      <c r="BY2387">
        <v>45891.3</v>
      </c>
      <c r="CA2387" t="s">
        <v>681</v>
      </c>
      <c r="CC2387" t="s">
        <v>272</v>
      </c>
      <c r="CD2387">
        <v>1401</v>
      </c>
      <c r="CE2387" t="s">
        <v>191</v>
      </c>
      <c r="CF2387" s="3">
        <v>45953</v>
      </c>
      <c r="CI2387">
        <v>1</v>
      </c>
      <c r="CJ2387">
        <v>1</v>
      </c>
      <c r="CK2387">
        <v>32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"080068652564"</f>
        <v>080068652564</v>
      </c>
      <c r="F2388" s="3">
        <v>45951</v>
      </c>
      <c r="G2388">
        <v>202607</v>
      </c>
      <c r="H2388" t="s">
        <v>79</v>
      </c>
      <c r="I2388" t="s">
        <v>80</v>
      </c>
      <c r="J2388" t="s">
        <v>91</v>
      </c>
      <c r="K2388" t="s">
        <v>78</v>
      </c>
      <c r="L2388" t="s">
        <v>168</v>
      </c>
      <c r="M2388" t="s">
        <v>169</v>
      </c>
      <c r="N2388" t="s">
        <v>1218</v>
      </c>
      <c r="O2388" t="s">
        <v>95</v>
      </c>
      <c r="P2388" t="str">
        <f>"4170065323                    "</f>
        <v xml:space="preserve">4170065323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43.23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9.3000000000000007</v>
      </c>
      <c r="BJ2388">
        <v>13.9</v>
      </c>
      <c r="BK2388">
        <v>14</v>
      </c>
      <c r="BL2388">
        <v>143.08000000000001</v>
      </c>
      <c r="BM2388">
        <v>21.46</v>
      </c>
      <c r="BN2388">
        <v>164.54</v>
      </c>
      <c r="BO2388">
        <v>164.54</v>
      </c>
      <c r="BQ2388" t="s">
        <v>1219</v>
      </c>
      <c r="BR2388" t="s">
        <v>97</v>
      </c>
      <c r="BS2388" s="3">
        <v>45952</v>
      </c>
      <c r="BT2388" s="4">
        <v>0.43541666666666667</v>
      </c>
      <c r="BU2388" t="s">
        <v>2961</v>
      </c>
      <c r="BV2388" t="s">
        <v>86</v>
      </c>
      <c r="BY2388">
        <v>69637.119999999995</v>
      </c>
      <c r="CA2388" t="s">
        <v>146</v>
      </c>
      <c r="CC2388" t="s">
        <v>169</v>
      </c>
      <c r="CD2388" s="5" t="s">
        <v>1061</v>
      </c>
      <c r="CE2388" t="s">
        <v>191</v>
      </c>
      <c r="CF2388" s="3">
        <v>45952</v>
      </c>
      <c r="CI2388">
        <v>1</v>
      </c>
      <c r="CJ2388">
        <v>1</v>
      </c>
      <c r="CK2388">
        <v>41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"080068652667"</f>
        <v>080068652667</v>
      </c>
      <c r="F2389" s="3">
        <v>45951</v>
      </c>
      <c r="G2389">
        <v>202607</v>
      </c>
      <c r="H2389" t="s">
        <v>79</v>
      </c>
      <c r="I2389" t="s">
        <v>80</v>
      </c>
      <c r="J2389" t="s">
        <v>91</v>
      </c>
      <c r="K2389" t="s">
        <v>78</v>
      </c>
      <c r="L2389" t="s">
        <v>92</v>
      </c>
      <c r="M2389" t="s">
        <v>93</v>
      </c>
      <c r="N2389" t="s">
        <v>2962</v>
      </c>
      <c r="O2389" t="s">
        <v>95</v>
      </c>
      <c r="P2389" t="str">
        <f>"4170065281                    "</f>
        <v xml:space="preserve">4170065281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82.5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3</v>
      </c>
      <c r="BI2389">
        <v>16.2</v>
      </c>
      <c r="BJ2389">
        <v>36.4</v>
      </c>
      <c r="BK2389">
        <v>37</v>
      </c>
      <c r="BL2389">
        <v>267.70999999999998</v>
      </c>
      <c r="BM2389">
        <v>40.159999999999997</v>
      </c>
      <c r="BN2389">
        <v>307.87</v>
      </c>
      <c r="BO2389">
        <v>307.87</v>
      </c>
      <c r="BQ2389" t="s">
        <v>2963</v>
      </c>
      <c r="BR2389" t="s">
        <v>97</v>
      </c>
      <c r="BS2389" s="3">
        <v>45952</v>
      </c>
      <c r="BT2389" s="4">
        <v>0.42499999999999999</v>
      </c>
      <c r="BU2389" t="s">
        <v>2964</v>
      </c>
      <c r="BV2389" t="s">
        <v>86</v>
      </c>
      <c r="BY2389">
        <v>181923.77</v>
      </c>
      <c r="CA2389" t="s">
        <v>600</v>
      </c>
      <c r="CC2389" t="s">
        <v>93</v>
      </c>
      <c r="CD2389">
        <v>3201</v>
      </c>
      <c r="CE2389" t="s">
        <v>2314</v>
      </c>
      <c r="CF2389" s="3">
        <v>45953</v>
      </c>
      <c r="CI2389">
        <v>2</v>
      </c>
      <c r="CJ2389">
        <v>1</v>
      </c>
      <c r="CK2389">
        <v>41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"080068652679"</f>
        <v>080068652679</v>
      </c>
      <c r="F2390" s="3">
        <v>45951</v>
      </c>
      <c r="G2390">
        <v>202607</v>
      </c>
      <c r="H2390" t="s">
        <v>79</v>
      </c>
      <c r="I2390" t="s">
        <v>80</v>
      </c>
      <c r="J2390" t="s">
        <v>91</v>
      </c>
      <c r="K2390" t="s">
        <v>78</v>
      </c>
      <c r="L2390" t="s">
        <v>1638</v>
      </c>
      <c r="M2390" t="s">
        <v>1639</v>
      </c>
      <c r="N2390" t="s">
        <v>2965</v>
      </c>
      <c r="O2390" t="s">
        <v>95</v>
      </c>
      <c r="P2390" t="str">
        <f>"4170065341                    "</f>
        <v xml:space="preserve">4170065341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795.92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2</v>
      </c>
      <c r="BI2390">
        <v>197</v>
      </c>
      <c r="BJ2390">
        <v>250.3</v>
      </c>
      <c r="BK2390">
        <v>251</v>
      </c>
      <c r="BL2390">
        <v>2532.06</v>
      </c>
      <c r="BM2390">
        <v>379.81</v>
      </c>
      <c r="BN2390">
        <v>2911.87</v>
      </c>
      <c r="BO2390">
        <v>2911.87</v>
      </c>
      <c r="BQ2390" t="s">
        <v>2966</v>
      </c>
      <c r="BR2390" t="s">
        <v>97</v>
      </c>
      <c r="BS2390" s="3">
        <v>45952</v>
      </c>
      <c r="BT2390" s="4">
        <v>0.58194444444444449</v>
      </c>
      <c r="BU2390" t="s">
        <v>2967</v>
      </c>
      <c r="BV2390" t="s">
        <v>86</v>
      </c>
      <c r="BY2390">
        <v>1251400</v>
      </c>
      <c r="CA2390" t="s">
        <v>1453</v>
      </c>
      <c r="CC2390" t="s">
        <v>1639</v>
      </c>
      <c r="CD2390">
        <v>1390</v>
      </c>
      <c r="CE2390" t="s">
        <v>2968</v>
      </c>
      <c r="CF2390" s="3">
        <v>45952</v>
      </c>
      <c r="CI2390">
        <v>1</v>
      </c>
      <c r="CJ2390">
        <v>1</v>
      </c>
      <c r="CK2390">
        <v>43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"080068652691"</f>
        <v>080068652691</v>
      </c>
      <c r="F2391" s="3">
        <v>45951</v>
      </c>
      <c r="G2391">
        <v>202607</v>
      </c>
      <c r="H2391" t="s">
        <v>79</v>
      </c>
      <c r="I2391" t="s">
        <v>80</v>
      </c>
      <c r="J2391" t="s">
        <v>91</v>
      </c>
      <c r="K2391" t="s">
        <v>78</v>
      </c>
      <c r="L2391" t="s">
        <v>218</v>
      </c>
      <c r="M2391" t="s">
        <v>219</v>
      </c>
      <c r="N2391" t="s">
        <v>1976</v>
      </c>
      <c r="O2391" t="s">
        <v>226</v>
      </c>
      <c r="P2391" t="str">
        <f>"4170065279                    "</f>
        <v xml:space="preserve">4170065279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17.47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5</v>
      </c>
      <c r="BJ2391">
        <v>6.9</v>
      </c>
      <c r="BK2391">
        <v>7</v>
      </c>
      <c r="BL2391">
        <v>55.44</v>
      </c>
      <c r="BM2391">
        <v>8.32</v>
      </c>
      <c r="BN2391">
        <v>63.76</v>
      </c>
      <c r="BO2391">
        <v>63.76</v>
      </c>
      <c r="BQ2391" t="s">
        <v>1977</v>
      </c>
      <c r="BR2391" t="s">
        <v>97</v>
      </c>
      <c r="BS2391" s="3">
        <v>45952</v>
      </c>
      <c r="BT2391" s="4">
        <v>0.3125</v>
      </c>
      <c r="BU2391" t="s">
        <v>2969</v>
      </c>
      <c r="BV2391" t="s">
        <v>86</v>
      </c>
      <c r="BY2391">
        <v>34580</v>
      </c>
      <c r="CA2391" t="s">
        <v>1434</v>
      </c>
      <c r="CC2391" t="s">
        <v>219</v>
      </c>
      <c r="CD2391">
        <v>1559</v>
      </c>
      <c r="CE2391" t="s">
        <v>191</v>
      </c>
      <c r="CF2391" s="3">
        <v>45952</v>
      </c>
      <c r="CI2391">
        <v>1</v>
      </c>
      <c r="CJ2391">
        <v>1</v>
      </c>
      <c r="CK2391">
        <v>32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"080068652710"</f>
        <v>080068652710</v>
      </c>
      <c r="F2392" s="3">
        <v>45951</v>
      </c>
      <c r="G2392">
        <v>202607</v>
      </c>
      <c r="H2392" t="s">
        <v>79</v>
      </c>
      <c r="I2392" t="s">
        <v>80</v>
      </c>
      <c r="J2392" t="s">
        <v>91</v>
      </c>
      <c r="K2392" t="s">
        <v>78</v>
      </c>
      <c r="L2392" t="s">
        <v>306</v>
      </c>
      <c r="M2392" t="s">
        <v>307</v>
      </c>
      <c r="N2392" t="s">
        <v>335</v>
      </c>
      <c r="O2392" t="s">
        <v>82</v>
      </c>
      <c r="P2392" t="str">
        <f>"4170065283                    "</f>
        <v xml:space="preserve">4170065283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89.37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8</v>
      </c>
      <c r="BJ2392">
        <v>3.2</v>
      </c>
      <c r="BK2392">
        <v>8</v>
      </c>
      <c r="BL2392">
        <v>283.64999999999998</v>
      </c>
      <c r="BM2392">
        <v>42.55</v>
      </c>
      <c r="BN2392">
        <v>326.2</v>
      </c>
      <c r="BO2392">
        <v>326.2</v>
      </c>
      <c r="BQ2392" t="s">
        <v>475</v>
      </c>
      <c r="BR2392" t="s">
        <v>97</v>
      </c>
      <c r="BS2392" s="3">
        <v>45952</v>
      </c>
      <c r="BT2392" s="4">
        <v>0.66666666666666663</v>
      </c>
      <c r="BU2392" t="s">
        <v>476</v>
      </c>
      <c r="BV2392" t="s">
        <v>90</v>
      </c>
      <c r="BY2392">
        <v>15834</v>
      </c>
      <c r="CA2392" t="s">
        <v>311</v>
      </c>
      <c r="CC2392" t="s">
        <v>307</v>
      </c>
      <c r="CD2392">
        <v>4133</v>
      </c>
      <c r="CE2392" t="s">
        <v>191</v>
      </c>
      <c r="CF2392" s="3">
        <v>45953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"080068652714"</f>
        <v>080068652714</v>
      </c>
      <c r="F2393" s="3">
        <v>45951</v>
      </c>
      <c r="G2393">
        <v>202607</v>
      </c>
      <c r="H2393" t="s">
        <v>79</v>
      </c>
      <c r="I2393" t="s">
        <v>80</v>
      </c>
      <c r="J2393" t="s">
        <v>91</v>
      </c>
      <c r="K2393" t="s">
        <v>78</v>
      </c>
      <c r="L2393" t="s">
        <v>92</v>
      </c>
      <c r="M2393" t="s">
        <v>93</v>
      </c>
      <c r="N2393" t="s">
        <v>2970</v>
      </c>
      <c r="O2393" t="s">
        <v>95</v>
      </c>
      <c r="P2393" t="str">
        <f>"4170065339                    "</f>
        <v xml:space="preserve">4170065339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171.74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75</v>
      </c>
      <c r="BJ2393">
        <v>86.4</v>
      </c>
      <c r="BK2393">
        <v>87</v>
      </c>
      <c r="BL2393">
        <v>550.95000000000005</v>
      </c>
      <c r="BM2393">
        <v>82.64</v>
      </c>
      <c r="BN2393">
        <v>633.59</v>
      </c>
      <c r="BO2393">
        <v>633.59</v>
      </c>
      <c r="BQ2393" t="s">
        <v>2971</v>
      </c>
      <c r="BR2393" t="s">
        <v>97</v>
      </c>
      <c r="BS2393" s="3">
        <v>45958</v>
      </c>
      <c r="BT2393" s="4">
        <v>0.54027777777777775</v>
      </c>
      <c r="BU2393" t="s">
        <v>2972</v>
      </c>
      <c r="BV2393" t="s">
        <v>90</v>
      </c>
      <c r="BY2393">
        <v>432000</v>
      </c>
      <c r="CC2393" t="s">
        <v>93</v>
      </c>
      <c r="CD2393">
        <v>3200</v>
      </c>
      <c r="CE2393" t="s">
        <v>1122</v>
      </c>
      <c r="CF2393" s="3">
        <v>45958</v>
      </c>
      <c r="CI2393">
        <v>2</v>
      </c>
      <c r="CJ2393">
        <v>5</v>
      </c>
      <c r="CK2393">
        <v>41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"080068652728"</f>
        <v>080068652728</v>
      </c>
      <c r="F2394" s="3">
        <v>45951</v>
      </c>
      <c r="G2394">
        <v>202607</v>
      </c>
      <c r="H2394" t="s">
        <v>79</v>
      </c>
      <c r="I2394" t="s">
        <v>80</v>
      </c>
      <c r="J2394" t="s">
        <v>91</v>
      </c>
      <c r="K2394" t="s">
        <v>78</v>
      </c>
      <c r="L2394" t="s">
        <v>108</v>
      </c>
      <c r="M2394" t="s">
        <v>109</v>
      </c>
      <c r="N2394" t="s">
        <v>2973</v>
      </c>
      <c r="O2394" t="s">
        <v>226</v>
      </c>
      <c r="P2394" t="str">
        <f>"4170065288                    "</f>
        <v xml:space="preserve">4170065288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83.84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4</v>
      </c>
      <c r="BJ2394">
        <v>1.9</v>
      </c>
      <c r="BK2394">
        <v>4</v>
      </c>
      <c r="BL2394">
        <v>266.08999999999997</v>
      </c>
      <c r="BM2394">
        <v>39.909999999999997</v>
      </c>
      <c r="BN2394">
        <v>306</v>
      </c>
      <c r="BO2394">
        <v>306</v>
      </c>
      <c r="BQ2394" t="s">
        <v>2974</v>
      </c>
      <c r="BR2394" t="s">
        <v>97</v>
      </c>
      <c r="BS2394" s="3">
        <v>45952</v>
      </c>
      <c r="BT2394" s="4">
        <v>0.42222222222222222</v>
      </c>
      <c r="BU2394" t="s">
        <v>2975</v>
      </c>
      <c r="BV2394" t="s">
        <v>86</v>
      </c>
      <c r="BY2394">
        <v>9600</v>
      </c>
      <c r="CA2394" t="s">
        <v>1145</v>
      </c>
      <c r="CC2394" t="s">
        <v>109</v>
      </c>
      <c r="CD2394">
        <v>6001</v>
      </c>
      <c r="CE2394" t="s">
        <v>191</v>
      </c>
      <c r="CF2394" s="3">
        <v>45952</v>
      </c>
      <c r="CI2394">
        <v>1</v>
      </c>
      <c r="CJ2394">
        <v>1</v>
      </c>
      <c r="CK2394">
        <v>31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"080068652778"</f>
        <v>080068652778</v>
      </c>
      <c r="F2395" s="3">
        <v>45951</v>
      </c>
      <c r="G2395">
        <v>202607</v>
      </c>
      <c r="H2395" t="s">
        <v>79</v>
      </c>
      <c r="I2395" t="s">
        <v>80</v>
      </c>
      <c r="J2395" t="s">
        <v>91</v>
      </c>
      <c r="K2395" t="s">
        <v>78</v>
      </c>
      <c r="L2395" t="s">
        <v>148</v>
      </c>
      <c r="M2395" t="s">
        <v>149</v>
      </c>
      <c r="N2395" t="s">
        <v>2976</v>
      </c>
      <c r="O2395" t="s">
        <v>82</v>
      </c>
      <c r="P2395" t="str">
        <f>"4170065317                    "</f>
        <v xml:space="preserve">4170065317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17.46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1.1000000000000001</v>
      </c>
      <c r="BK2395">
        <v>2</v>
      </c>
      <c r="BL2395">
        <v>55.42</v>
      </c>
      <c r="BM2395">
        <v>8.31</v>
      </c>
      <c r="BN2395">
        <v>63.73</v>
      </c>
      <c r="BO2395">
        <v>63.73</v>
      </c>
      <c r="BQ2395" t="s">
        <v>2977</v>
      </c>
      <c r="BR2395" t="s">
        <v>97</v>
      </c>
      <c r="BS2395" s="3">
        <v>45952</v>
      </c>
      <c r="BT2395" s="4">
        <v>0.375</v>
      </c>
      <c r="BU2395" t="s">
        <v>2978</v>
      </c>
      <c r="BV2395" t="s">
        <v>86</v>
      </c>
      <c r="BY2395">
        <v>5510</v>
      </c>
      <c r="CA2395" t="s">
        <v>1463</v>
      </c>
      <c r="CC2395" t="s">
        <v>149</v>
      </c>
      <c r="CD2395">
        <v>2091</v>
      </c>
      <c r="CE2395" t="s">
        <v>191</v>
      </c>
      <c r="CF2395" s="3">
        <v>45952</v>
      </c>
      <c r="CI2395">
        <v>1</v>
      </c>
      <c r="CJ2395">
        <v>1</v>
      </c>
      <c r="CK2395">
        <v>22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"080068652796"</f>
        <v>080068652796</v>
      </c>
      <c r="F2396" s="3">
        <v>45951</v>
      </c>
      <c r="G2396">
        <v>202607</v>
      </c>
      <c r="H2396" t="s">
        <v>79</v>
      </c>
      <c r="I2396" t="s">
        <v>80</v>
      </c>
      <c r="J2396" t="s">
        <v>91</v>
      </c>
      <c r="K2396" t="s">
        <v>78</v>
      </c>
      <c r="L2396" t="s">
        <v>92</v>
      </c>
      <c r="M2396" t="s">
        <v>93</v>
      </c>
      <c r="N2396" t="s">
        <v>597</v>
      </c>
      <c r="O2396" t="s">
        <v>82</v>
      </c>
      <c r="P2396" t="str">
        <f>"4170065289                    "</f>
        <v xml:space="preserve">4170065289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33.520000000000003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3</v>
      </c>
      <c r="BJ2396">
        <v>1.9</v>
      </c>
      <c r="BK2396">
        <v>3</v>
      </c>
      <c r="BL2396">
        <v>106.4</v>
      </c>
      <c r="BM2396">
        <v>15.96</v>
      </c>
      <c r="BN2396">
        <v>122.36</v>
      </c>
      <c r="BO2396">
        <v>122.36</v>
      </c>
      <c r="BQ2396" t="s">
        <v>598</v>
      </c>
      <c r="BR2396" t="s">
        <v>97</v>
      </c>
      <c r="BS2396" s="3">
        <v>45952</v>
      </c>
      <c r="BT2396" s="4">
        <v>0.47152777777777777</v>
      </c>
      <c r="BU2396" t="s">
        <v>599</v>
      </c>
      <c r="BV2396" t="s">
        <v>86</v>
      </c>
      <c r="BY2396">
        <v>9657.2800000000007</v>
      </c>
      <c r="CA2396" t="s">
        <v>600</v>
      </c>
      <c r="CC2396" t="s">
        <v>93</v>
      </c>
      <c r="CD2396">
        <v>3201</v>
      </c>
      <c r="CE2396" t="s">
        <v>191</v>
      </c>
      <c r="CF2396" s="3">
        <v>45953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"080068652807"</f>
        <v>080068652807</v>
      </c>
      <c r="F2397" s="3">
        <v>45951</v>
      </c>
      <c r="G2397">
        <v>202607</v>
      </c>
      <c r="H2397" t="s">
        <v>79</v>
      </c>
      <c r="I2397" t="s">
        <v>80</v>
      </c>
      <c r="J2397" t="s">
        <v>91</v>
      </c>
      <c r="K2397" t="s">
        <v>78</v>
      </c>
      <c r="L2397" t="s">
        <v>114</v>
      </c>
      <c r="M2397" t="s">
        <v>115</v>
      </c>
      <c r="N2397" t="s">
        <v>2120</v>
      </c>
      <c r="O2397" t="s">
        <v>82</v>
      </c>
      <c r="P2397" t="str">
        <f>"4170065304                    "</f>
        <v xml:space="preserve">4170065304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39.11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3.4</v>
      </c>
      <c r="BK2397">
        <v>3.5</v>
      </c>
      <c r="BL2397">
        <v>124.13</v>
      </c>
      <c r="BM2397">
        <v>18.62</v>
      </c>
      <c r="BN2397">
        <v>142.75</v>
      </c>
      <c r="BO2397">
        <v>142.75</v>
      </c>
      <c r="BQ2397" t="s">
        <v>2121</v>
      </c>
      <c r="BR2397" t="s">
        <v>97</v>
      </c>
      <c r="BS2397" s="3">
        <v>45952</v>
      </c>
      <c r="BT2397" s="4">
        <v>0.46319444444444446</v>
      </c>
      <c r="BU2397" t="s">
        <v>2979</v>
      </c>
      <c r="BV2397" t="s">
        <v>86</v>
      </c>
      <c r="BY2397">
        <v>16965</v>
      </c>
      <c r="CA2397" t="s">
        <v>119</v>
      </c>
      <c r="CC2397" t="s">
        <v>115</v>
      </c>
      <c r="CD2397">
        <v>5201</v>
      </c>
      <c r="CE2397" t="s">
        <v>191</v>
      </c>
      <c r="CF2397" s="3">
        <v>45952</v>
      </c>
      <c r="CI2397">
        <v>5</v>
      </c>
      <c r="CJ2397">
        <v>1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"080068652812"</f>
        <v>080068652812</v>
      </c>
      <c r="F2398" s="3">
        <v>45951</v>
      </c>
      <c r="G2398">
        <v>202607</v>
      </c>
      <c r="H2398" t="s">
        <v>79</v>
      </c>
      <c r="I2398" t="s">
        <v>80</v>
      </c>
      <c r="J2398" t="s">
        <v>91</v>
      </c>
      <c r="K2398" t="s">
        <v>78</v>
      </c>
      <c r="L2398" t="s">
        <v>108</v>
      </c>
      <c r="M2398" t="s">
        <v>109</v>
      </c>
      <c r="N2398" t="s">
        <v>2980</v>
      </c>
      <c r="O2398" t="s">
        <v>82</v>
      </c>
      <c r="P2398" t="str">
        <f>"4170065332                    "</f>
        <v xml:space="preserve">4170065332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22.36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70.959999999999994</v>
      </c>
      <c r="BM2398">
        <v>10.64</v>
      </c>
      <c r="BN2398">
        <v>81.599999999999994</v>
      </c>
      <c r="BO2398">
        <v>81.599999999999994</v>
      </c>
      <c r="BQ2398" t="s">
        <v>2981</v>
      </c>
      <c r="BR2398" t="s">
        <v>97</v>
      </c>
      <c r="BS2398" s="3">
        <v>45952</v>
      </c>
      <c r="BT2398" s="4">
        <v>0.41736111111111113</v>
      </c>
      <c r="BU2398" t="s">
        <v>2982</v>
      </c>
      <c r="BV2398" t="s">
        <v>86</v>
      </c>
      <c r="BY2398">
        <v>1200</v>
      </c>
      <c r="CA2398" t="s">
        <v>2882</v>
      </c>
      <c r="CC2398" t="s">
        <v>109</v>
      </c>
      <c r="CD2398">
        <v>6001</v>
      </c>
      <c r="CE2398" t="s">
        <v>1955</v>
      </c>
      <c r="CF2398" s="3">
        <v>45952</v>
      </c>
      <c r="CI2398">
        <v>1</v>
      </c>
      <c r="CJ2398">
        <v>1</v>
      </c>
      <c r="CK2398">
        <v>21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"080068652872"</f>
        <v>080068652872</v>
      </c>
      <c r="F2399" s="3">
        <v>45951</v>
      </c>
      <c r="G2399">
        <v>202607</v>
      </c>
      <c r="H2399" t="s">
        <v>79</v>
      </c>
      <c r="I2399" t="s">
        <v>80</v>
      </c>
      <c r="J2399" t="s">
        <v>91</v>
      </c>
      <c r="K2399" t="s">
        <v>78</v>
      </c>
      <c r="L2399" t="s">
        <v>108</v>
      </c>
      <c r="M2399" t="s">
        <v>109</v>
      </c>
      <c r="N2399" t="s">
        <v>842</v>
      </c>
      <c r="O2399" t="s">
        <v>82</v>
      </c>
      <c r="P2399" t="str">
        <f>"4170065280                    "</f>
        <v xml:space="preserve">4170065280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83.78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3</v>
      </c>
      <c r="BJ2399">
        <v>7.2</v>
      </c>
      <c r="BK2399">
        <v>7.5</v>
      </c>
      <c r="BL2399">
        <v>265.92</v>
      </c>
      <c r="BM2399">
        <v>39.89</v>
      </c>
      <c r="BN2399">
        <v>305.81</v>
      </c>
      <c r="BO2399">
        <v>305.81</v>
      </c>
      <c r="BQ2399" t="s">
        <v>2983</v>
      </c>
      <c r="BR2399" t="s">
        <v>97</v>
      </c>
      <c r="BS2399" s="3">
        <v>45952</v>
      </c>
      <c r="BT2399" s="4">
        <v>0.39930555555555558</v>
      </c>
      <c r="BU2399" t="s">
        <v>2984</v>
      </c>
      <c r="BV2399" t="s">
        <v>86</v>
      </c>
      <c r="BY2399">
        <v>36000</v>
      </c>
      <c r="CA2399" t="s">
        <v>1090</v>
      </c>
      <c r="CC2399" t="s">
        <v>109</v>
      </c>
      <c r="CD2399">
        <v>6012</v>
      </c>
      <c r="CE2399" t="s">
        <v>191</v>
      </c>
      <c r="CF2399" s="3">
        <v>45952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"080068652883"</f>
        <v>080068652883</v>
      </c>
      <c r="F2400" s="3">
        <v>45951</v>
      </c>
      <c r="G2400">
        <v>202607</v>
      </c>
      <c r="H2400" t="s">
        <v>79</v>
      </c>
      <c r="I2400" t="s">
        <v>80</v>
      </c>
      <c r="J2400" t="s">
        <v>91</v>
      </c>
      <c r="K2400" t="s">
        <v>78</v>
      </c>
      <c r="L2400" t="s">
        <v>108</v>
      </c>
      <c r="M2400" t="s">
        <v>109</v>
      </c>
      <c r="N2400" t="s">
        <v>2985</v>
      </c>
      <c r="O2400" t="s">
        <v>95</v>
      </c>
      <c r="P2400" t="str">
        <f>"4170065292                    "</f>
        <v xml:space="preserve">4170065292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52.15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15.8</v>
      </c>
      <c r="BJ2400">
        <v>19.600000000000001</v>
      </c>
      <c r="BK2400">
        <v>20</v>
      </c>
      <c r="BL2400">
        <v>171.4</v>
      </c>
      <c r="BM2400">
        <v>25.71</v>
      </c>
      <c r="BN2400">
        <v>197.11</v>
      </c>
      <c r="BO2400">
        <v>197.11</v>
      </c>
      <c r="BQ2400" t="s">
        <v>2986</v>
      </c>
      <c r="BR2400" t="s">
        <v>97</v>
      </c>
      <c r="BS2400" s="3">
        <v>45954</v>
      </c>
      <c r="BT2400" s="4">
        <v>0.5395833333333333</v>
      </c>
      <c r="BU2400" t="s">
        <v>2987</v>
      </c>
      <c r="BV2400" t="s">
        <v>86</v>
      </c>
      <c r="BY2400">
        <v>98066.16</v>
      </c>
      <c r="CA2400" t="s">
        <v>762</v>
      </c>
      <c r="CC2400" t="s">
        <v>109</v>
      </c>
      <c r="CD2400">
        <v>6001</v>
      </c>
      <c r="CE2400" t="s">
        <v>191</v>
      </c>
      <c r="CF2400" s="3">
        <v>45954</v>
      </c>
      <c r="CI2400">
        <v>3</v>
      </c>
      <c r="CJ2400">
        <v>3</v>
      </c>
      <c r="CK2400">
        <v>41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"080068652927"</f>
        <v>080068652927</v>
      </c>
      <c r="F2401" s="3">
        <v>45951</v>
      </c>
      <c r="G2401">
        <v>202607</v>
      </c>
      <c r="H2401" t="s">
        <v>79</v>
      </c>
      <c r="I2401" t="s">
        <v>80</v>
      </c>
      <c r="J2401" t="s">
        <v>91</v>
      </c>
      <c r="K2401" t="s">
        <v>78</v>
      </c>
      <c r="L2401" t="s">
        <v>108</v>
      </c>
      <c r="M2401" t="s">
        <v>109</v>
      </c>
      <c r="N2401" t="s">
        <v>1154</v>
      </c>
      <c r="O2401" t="s">
        <v>95</v>
      </c>
      <c r="P2401" t="str">
        <f>"4170065290                    "</f>
        <v xml:space="preserve">4170065290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48.59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7.2</v>
      </c>
      <c r="BJ2401">
        <v>17.899999999999999</v>
      </c>
      <c r="BK2401">
        <v>18</v>
      </c>
      <c r="BL2401">
        <v>160.08000000000001</v>
      </c>
      <c r="BM2401">
        <v>24.01</v>
      </c>
      <c r="BN2401">
        <v>184.09</v>
      </c>
      <c r="BO2401">
        <v>184.09</v>
      </c>
      <c r="BQ2401" t="s">
        <v>1155</v>
      </c>
      <c r="BR2401" t="s">
        <v>97</v>
      </c>
      <c r="BS2401" s="3">
        <v>45953</v>
      </c>
      <c r="BT2401" s="4">
        <v>0.6020833333333333</v>
      </c>
      <c r="BU2401" t="s">
        <v>2988</v>
      </c>
      <c r="BV2401" t="s">
        <v>86</v>
      </c>
      <c r="BY2401">
        <v>89521.35</v>
      </c>
      <c r="CA2401" t="s">
        <v>294</v>
      </c>
      <c r="CC2401" t="s">
        <v>109</v>
      </c>
      <c r="CD2401">
        <v>6070</v>
      </c>
      <c r="CE2401" t="s">
        <v>191</v>
      </c>
      <c r="CF2401" s="3">
        <v>45953</v>
      </c>
      <c r="CI2401">
        <v>3</v>
      </c>
      <c r="CJ2401">
        <v>2</v>
      </c>
      <c r="CK2401">
        <v>41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"080068653209"</f>
        <v>080068653209</v>
      </c>
      <c r="F2402" s="3">
        <v>45951</v>
      </c>
      <c r="G2402">
        <v>202607</v>
      </c>
      <c r="H2402" t="s">
        <v>79</v>
      </c>
      <c r="I2402" t="s">
        <v>80</v>
      </c>
      <c r="J2402" t="s">
        <v>91</v>
      </c>
      <c r="K2402" t="s">
        <v>78</v>
      </c>
      <c r="L2402" t="s">
        <v>218</v>
      </c>
      <c r="M2402" t="s">
        <v>219</v>
      </c>
      <c r="N2402" t="s">
        <v>898</v>
      </c>
      <c r="O2402" t="s">
        <v>226</v>
      </c>
      <c r="P2402" t="str">
        <f>"4170065278                    "</f>
        <v xml:space="preserve">4170065278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17.47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5</v>
      </c>
      <c r="BJ2402">
        <v>6.7</v>
      </c>
      <c r="BK2402">
        <v>7</v>
      </c>
      <c r="BL2402">
        <v>55.44</v>
      </c>
      <c r="BM2402">
        <v>8.32</v>
      </c>
      <c r="BN2402">
        <v>63.76</v>
      </c>
      <c r="BO2402">
        <v>63.76</v>
      </c>
      <c r="BQ2402" t="s">
        <v>899</v>
      </c>
      <c r="BR2402" t="s">
        <v>97</v>
      </c>
      <c r="BS2402" s="3">
        <v>45952</v>
      </c>
      <c r="BT2402" s="4">
        <v>0.32569444444444445</v>
      </c>
      <c r="BU2402" t="s">
        <v>1535</v>
      </c>
      <c r="BV2402" t="s">
        <v>86</v>
      </c>
      <c r="BY2402">
        <v>33600</v>
      </c>
      <c r="CA2402" t="s">
        <v>1434</v>
      </c>
      <c r="CC2402" t="s">
        <v>219</v>
      </c>
      <c r="CD2402">
        <v>1559</v>
      </c>
      <c r="CE2402" t="s">
        <v>107</v>
      </c>
      <c r="CF2402" s="3">
        <v>45952</v>
      </c>
      <c r="CI2402">
        <v>1</v>
      </c>
      <c r="CJ2402">
        <v>1</v>
      </c>
      <c r="CK2402">
        <v>32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"080068653218"</f>
        <v>080068653218</v>
      </c>
      <c r="F2403" s="3">
        <v>45951</v>
      </c>
      <c r="G2403">
        <v>202607</v>
      </c>
      <c r="H2403" t="s">
        <v>79</v>
      </c>
      <c r="I2403" t="s">
        <v>80</v>
      </c>
      <c r="J2403" t="s">
        <v>91</v>
      </c>
      <c r="K2403" t="s">
        <v>78</v>
      </c>
      <c r="L2403" t="s">
        <v>148</v>
      </c>
      <c r="M2403" t="s">
        <v>149</v>
      </c>
      <c r="N2403" t="s">
        <v>2989</v>
      </c>
      <c r="O2403" t="s">
        <v>82</v>
      </c>
      <c r="P2403" t="str">
        <f>"4170065291                    "</f>
        <v xml:space="preserve">4170065291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17.46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7.2</v>
      </c>
      <c r="BK2403">
        <v>8</v>
      </c>
      <c r="BL2403">
        <v>55.42</v>
      </c>
      <c r="BM2403">
        <v>8.31</v>
      </c>
      <c r="BN2403">
        <v>63.73</v>
      </c>
      <c r="BO2403">
        <v>63.73</v>
      </c>
      <c r="BQ2403" t="s">
        <v>2990</v>
      </c>
      <c r="BR2403" t="s">
        <v>97</v>
      </c>
      <c r="BS2403" s="3">
        <v>45952</v>
      </c>
      <c r="BT2403" s="4">
        <v>0.31874999999999998</v>
      </c>
      <c r="BU2403" t="s">
        <v>2991</v>
      </c>
      <c r="BV2403" t="s">
        <v>86</v>
      </c>
      <c r="BY2403">
        <v>36192</v>
      </c>
      <c r="CA2403" t="s">
        <v>1713</v>
      </c>
      <c r="CC2403" t="s">
        <v>149</v>
      </c>
      <c r="CD2403">
        <v>2157</v>
      </c>
      <c r="CE2403" t="s">
        <v>191</v>
      </c>
      <c r="CF2403" s="3">
        <v>45953</v>
      </c>
      <c r="CI2403">
        <v>1</v>
      </c>
      <c r="CJ2403">
        <v>1</v>
      </c>
      <c r="CK2403">
        <v>22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"080068653240"</f>
        <v>080068653240</v>
      </c>
      <c r="F2404" s="3">
        <v>45951</v>
      </c>
      <c r="G2404">
        <v>202607</v>
      </c>
      <c r="H2404" t="s">
        <v>79</v>
      </c>
      <c r="I2404" t="s">
        <v>80</v>
      </c>
      <c r="J2404" t="s">
        <v>91</v>
      </c>
      <c r="K2404" t="s">
        <v>78</v>
      </c>
      <c r="L2404" t="s">
        <v>333</v>
      </c>
      <c r="M2404" t="s">
        <v>334</v>
      </c>
      <c r="N2404" t="s">
        <v>1388</v>
      </c>
      <c r="O2404" t="s">
        <v>82</v>
      </c>
      <c r="P2404" t="str">
        <f>"4170065301                    "</f>
        <v xml:space="preserve">4170065301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22.36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0.9</v>
      </c>
      <c r="BK2404">
        <v>1</v>
      </c>
      <c r="BL2404">
        <v>70.959999999999994</v>
      </c>
      <c r="BM2404">
        <v>10.64</v>
      </c>
      <c r="BN2404">
        <v>81.599999999999994</v>
      </c>
      <c r="BO2404">
        <v>81.599999999999994</v>
      </c>
      <c r="BQ2404" t="s">
        <v>1389</v>
      </c>
      <c r="BR2404" t="s">
        <v>97</v>
      </c>
      <c r="BS2404" s="3">
        <v>45952</v>
      </c>
      <c r="BT2404" s="4">
        <v>0.38541666666666669</v>
      </c>
      <c r="BU2404" t="s">
        <v>2413</v>
      </c>
      <c r="BV2404" t="s">
        <v>86</v>
      </c>
      <c r="BY2404">
        <v>4275</v>
      </c>
      <c r="CA2404" t="s">
        <v>142</v>
      </c>
      <c r="CC2404" t="s">
        <v>334</v>
      </c>
      <c r="CD2404">
        <v>6220</v>
      </c>
      <c r="CE2404" t="s">
        <v>191</v>
      </c>
      <c r="CF2404" s="3">
        <v>45952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"080068653264"</f>
        <v>080068653264</v>
      </c>
      <c r="F2405" s="3">
        <v>45951</v>
      </c>
      <c r="G2405">
        <v>202607</v>
      </c>
      <c r="H2405" t="s">
        <v>79</v>
      </c>
      <c r="I2405" t="s">
        <v>80</v>
      </c>
      <c r="J2405" t="s">
        <v>91</v>
      </c>
      <c r="K2405" t="s">
        <v>78</v>
      </c>
      <c r="L2405" t="s">
        <v>206</v>
      </c>
      <c r="M2405" t="s">
        <v>207</v>
      </c>
      <c r="N2405" t="s">
        <v>935</v>
      </c>
      <c r="O2405" t="s">
        <v>82</v>
      </c>
      <c r="P2405" t="str">
        <f>"4170065322                    "</f>
        <v xml:space="preserve">4170065322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50.28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3</v>
      </c>
      <c r="BJ2405">
        <v>4.5</v>
      </c>
      <c r="BK2405">
        <v>4.5</v>
      </c>
      <c r="BL2405">
        <v>159.58000000000001</v>
      </c>
      <c r="BM2405">
        <v>23.94</v>
      </c>
      <c r="BN2405">
        <v>183.52</v>
      </c>
      <c r="BO2405">
        <v>183.52</v>
      </c>
      <c r="BQ2405" t="s">
        <v>936</v>
      </c>
      <c r="BR2405" t="s">
        <v>97</v>
      </c>
      <c r="BS2405" s="3">
        <v>45952</v>
      </c>
      <c r="BT2405" s="4">
        <v>0.40972222222222221</v>
      </c>
      <c r="BU2405" t="s">
        <v>2992</v>
      </c>
      <c r="BV2405" t="s">
        <v>86</v>
      </c>
      <c r="BY2405">
        <v>22620</v>
      </c>
      <c r="CA2405" t="s">
        <v>2795</v>
      </c>
      <c r="CC2405" t="s">
        <v>207</v>
      </c>
      <c r="CD2405">
        <v>7441</v>
      </c>
      <c r="CE2405" t="s">
        <v>191</v>
      </c>
      <c r="CF2405" s="3">
        <v>45953</v>
      </c>
      <c r="CI2405">
        <v>1</v>
      </c>
      <c r="CJ2405">
        <v>1</v>
      </c>
      <c r="CK2405">
        <v>21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"080068653274"</f>
        <v>080068653274</v>
      </c>
      <c r="F2406" s="3">
        <v>45951</v>
      </c>
      <c r="G2406">
        <v>202607</v>
      </c>
      <c r="H2406" t="s">
        <v>79</v>
      </c>
      <c r="I2406" t="s">
        <v>80</v>
      </c>
      <c r="J2406" t="s">
        <v>91</v>
      </c>
      <c r="K2406" t="s">
        <v>78</v>
      </c>
      <c r="L2406" t="s">
        <v>239</v>
      </c>
      <c r="M2406" t="s">
        <v>240</v>
      </c>
      <c r="N2406" t="s">
        <v>526</v>
      </c>
      <c r="O2406" t="s">
        <v>95</v>
      </c>
      <c r="P2406" t="str">
        <f>"4170065294                    "</f>
        <v xml:space="preserve">4170065294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92.12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24.5</v>
      </c>
      <c r="BJ2406">
        <v>8.8000000000000007</v>
      </c>
      <c r="BK2406">
        <v>25</v>
      </c>
      <c r="BL2406">
        <v>298.24</v>
      </c>
      <c r="BM2406">
        <v>44.74</v>
      </c>
      <c r="BN2406">
        <v>342.98</v>
      </c>
      <c r="BO2406">
        <v>342.98</v>
      </c>
      <c r="BQ2406" t="s">
        <v>527</v>
      </c>
      <c r="BR2406" t="s">
        <v>97</v>
      </c>
      <c r="BS2406" s="3">
        <v>45952</v>
      </c>
      <c r="BT2406" s="4">
        <v>0.51388888888888884</v>
      </c>
      <c r="BU2406" t="s">
        <v>528</v>
      </c>
      <c r="BV2406" t="s">
        <v>86</v>
      </c>
      <c r="BY2406">
        <v>43896.93</v>
      </c>
      <c r="CA2406" t="s">
        <v>529</v>
      </c>
      <c r="CC2406" t="s">
        <v>240</v>
      </c>
      <c r="CD2406" s="5" t="s">
        <v>245</v>
      </c>
      <c r="CE2406" t="s">
        <v>191</v>
      </c>
      <c r="CF2406" s="3">
        <v>45953</v>
      </c>
      <c r="CI2406">
        <v>1</v>
      </c>
      <c r="CJ2406">
        <v>1</v>
      </c>
      <c r="CK2406">
        <v>43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"080068653280"</f>
        <v>080068653280</v>
      </c>
      <c r="F2407" s="3">
        <v>45951</v>
      </c>
      <c r="G2407">
        <v>202607</v>
      </c>
      <c r="H2407" t="s">
        <v>79</v>
      </c>
      <c r="I2407" t="s">
        <v>80</v>
      </c>
      <c r="J2407" t="s">
        <v>91</v>
      </c>
      <c r="K2407" t="s">
        <v>78</v>
      </c>
      <c r="L2407" t="s">
        <v>322</v>
      </c>
      <c r="M2407" t="s">
        <v>322</v>
      </c>
      <c r="N2407" t="s">
        <v>481</v>
      </c>
      <c r="O2407" t="s">
        <v>82</v>
      </c>
      <c r="P2407" t="str">
        <f>"4170065316                    "</f>
        <v xml:space="preserve">4170065316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43.31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1.1000000000000001</v>
      </c>
      <c r="BK2407">
        <v>2</v>
      </c>
      <c r="BL2407">
        <v>137.47</v>
      </c>
      <c r="BM2407">
        <v>20.62</v>
      </c>
      <c r="BN2407">
        <v>158.09</v>
      </c>
      <c r="BO2407">
        <v>158.09</v>
      </c>
      <c r="BQ2407" t="s">
        <v>482</v>
      </c>
      <c r="BR2407" t="s">
        <v>97</v>
      </c>
      <c r="BS2407" s="3">
        <v>45952</v>
      </c>
      <c r="BT2407" s="4">
        <v>0.53819444444444442</v>
      </c>
      <c r="BU2407" t="s">
        <v>1402</v>
      </c>
      <c r="BV2407" t="s">
        <v>86</v>
      </c>
      <c r="BY2407">
        <v>5510</v>
      </c>
      <c r="CA2407" t="s">
        <v>326</v>
      </c>
      <c r="CC2407" t="s">
        <v>322</v>
      </c>
      <c r="CD2407">
        <v>7646</v>
      </c>
      <c r="CE2407" t="s">
        <v>191</v>
      </c>
      <c r="CF2407" s="3">
        <v>45953</v>
      </c>
      <c r="CI2407">
        <v>1</v>
      </c>
      <c r="CJ2407">
        <v>1</v>
      </c>
      <c r="CK2407">
        <v>23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"080068653300"</f>
        <v>080068653300</v>
      </c>
      <c r="F2408" s="3">
        <v>45951</v>
      </c>
      <c r="G2408">
        <v>202607</v>
      </c>
      <c r="H2408" t="s">
        <v>79</v>
      </c>
      <c r="I2408" t="s">
        <v>80</v>
      </c>
      <c r="J2408" t="s">
        <v>91</v>
      </c>
      <c r="K2408" t="s">
        <v>78</v>
      </c>
      <c r="L2408" t="s">
        <v>148</v>
      </c>
      <c r="M2408" t="s">
        <v>149</v>
      </c>
      <c r="N2408" t="s">
        <v>497</v>
      </c>
      <c r="O2408" t="s">
        <v>82</v>
      </c>
      <c r="P2408" t="str">
        <f>"4170065325                    "</f>
        <v xml:space="preserve">4170065325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17.46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16.739999999999998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72.16</v>
      </c>
      <c r="BM2408">
        <v>10.82</v>
      </c>
      <c r="BN2408">
        <v>82.98</v>
      </c>
      <c r="BO2408">
        <v>82.98</v>
      </c>
      <c r="BQ2408" t="s">
        <v>498</v>
      </c>
      <c r="BR2408" t="s">
        <v>97</v>
      </c>
      <c r="BS2408" s="3">
        <v>45952</v>
      </c>
      <c r="BT2408" s="4">
        <v>0.41666666666666669</v>
      </c>
      <c r="BU2408" t="s">
        <v>499</v>
      </c>
      <c r="BV2408" t="s">
        <v>86</v>
      </c>
      <c r="BY2408">
        <v>1200</v>
      </c>
      <c r="BZ2408" t="s">
        <v>30</v>
      </c>
      <c r="CA2408" t="s">
        <v>501</v>
      </c>
      <c r="CC2408" t="s">
        <v>149</v>
      </c>
      <c r="CD2408">
        <v>2188</v>
      </c>
      <c r="CE2408" t="s">
        <v>147</v>
      </c>
      <c r="CF2408" s="3">
        <v>45953</v>
      </c>
      <c r="CI2408">
        <v>1</v>
      </c>
      <c r="CJ2408">
        <v>1</v>
      </c>
      <c r="CK2408">
        <v>22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"080068653314"</f>
        <v>080068653314</v>
      </c>
      <c r="F2409" s="3">
        <v>45951</v>
      </c>
      <c r="G2409">
        <v>202607</v>
      </c>
      <c r="H2409" t="s">
        <v>79</v>
      </c>
      <c r="I2409" t="s">
        <v>80</v>
      </c>
      <c r="J2409" t="s">
        <v>91</v>
      </c>
      <c r="K2409" t="s">
        <v>78</v>
      </c>
      <c r="L2409" t="s">
        <v>206</v>
      </c>
      <c r="M2409" t="s">
        <v>207</v>
      </c>
      <c r="N2409" t="s">
        <v>734</v>
      </c>
      <c r="O2409" t="s">
        <v>82</v>
      </c>
      <c r="P2409" t="str">
        <f>"4170065331                    "</f>
        <v xml:space="preserve">4170065331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22.36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70.959999999999994</v>
      </c>
      <c r="BM2409">
        <v>10.64</v>
      </c>
      <c r="BN2409">
        <v>81.599999999999994</v>
      </c>
      <c r="BO2409">
        <v>81.599999999999994</v>
      </c>
      <c r="BQ2409" t="s">
        <v>735</v>
      </c>
      <c r="BR2409" t="s">
        <v>97</v>
      </c>
      <c r="BS2409" s="3">
        <v>45952</v>
      </c>
      <c r="BT2409" s="4">
        <v>0.45694444444444443</v>
      </c>
      <c r="BU2409" t="s">
        <v>736</v>
      </c>
      <c r="BV2409" t="s">
        <v>90</v>
      </c>
      <c r="BY2409">
        <v>1200</v>
      </c>
      <c r="CA2409" t="s">
        <v>480</v>
      </c>
      <c r="CC2409" t="s">
        <v>207</v>
      </c>
      <c r="CD2409">
        <v>7480</v>
      </c>
      <c r="CE2409" t="s">
        <v>147</v>
      </c>
      <c r="CF2409" s="3">
        <v>45953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"080068653338"</f>
        <v>080068653338</v>
      </c>
      <c r="F2410" s="3">
        <v>45951</v>
      </c>
      <c r="G2410">
        <v>202607</v>
      </c>
      <c r="H2410" t="s">
        <v>79</v>
      </c>
      <c r="I2410" t="s">
        <v>80</v>
      </c>
      <c r="J2410" t="s">
        <v>91</v>
      </c>
      <c r="K2410" t="s">
        <v>78</v>
      </c>
      <c r="L2410" t="s">
        <v>148</v>
      </c>
      <c r="M2410" t="s">
        <v>149</v>
      </c>
      <c r="N2410" t="s">
        <v>2993</v>
      </c>
      <c r="O2410" t="s">
        <v>82</v>
      </c>
      <c r="P2410" t="str">
        <f>"4170065293                    "</f>
        <v xml:space="preserve">4170065293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17.46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3</v>
      </c>
      <c r="BJ2410">
        <v>3.2</v>
      </c>
      <c r="BK2410">
        <v>4</v>
      </c>
      <c r="BL2410">
        <v>55.42</v>
      </c>
      <c r="BM2410">
        <v>8.31</v>
      </c>
      <c r="BN2410">
        <v>63.73</v>
      </c>
      <c r="BO2410">
        <v>63.73</v>
      </c>
      <c r="BQ2410" t="s">
        <v>2994</v>
      </c>
      <c r="BR2410" t="s">
        <v>97</v>
      </c>
      <c r="BS2410" s="3">
        <v>45952</v>
      </c>
      <c r="BT2410" s="4">
        <v>0.36944444444444446</v>
      </c>
      <c r="BU2410" t="s">
        <v>2587</v>
      </c>
      <c r="BV2410" t="s">
        <v>86</v>
      </c>
      <c r="BY2410">
        <v>15834</v>
      </c>
      <c r="CA2410" t="s">
        <v>1463</v>
      </c>
      <c r="CC2410" t="s">
        <v>149</v>
      </c>
      <c r="CD2410">
        <v>2013</v>
      </c>
      <c r="CE2410" t="s">
        <v>191</v>
      </c>
      <c r="CF2410" s="3">
        <v>45952</v>
      </c>
      <c r="CI2410">
        <v>1</v>
      </c>
      <c r="CJ2410">
        <v>1</v>
      </c>
      <c r="CK2410">
        <v>22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"080068653345"</f>
        <v>080068653345</v>
      </c>
      <c r="F2411" s="3">
        <v>45951</v>
      </c>
      <c r="G2411">
        <v>202607</v>
      </c>
      <c r="H2411" t="s">
        <v>79</v>
      </c>
      <c r="I2411" t="s">
        <v>80</v>
      </c>
      <c r="J2411" t="s">
        <v>91</v>
      </c>
      <c r="K2411" t="s">
        <v>78</v>
      </c>
      <c r="L2411" t="s">
        <v>206</v>
      </c>
      <c r="M2411" t="s">
        <v>207</v>
      </c>
      <c r="N2411" t="s">
        <v>656</v>
      </c>
      <c r="O2411" t="s">
        <v>82</v>
      </c>
      <c r="P2411" t="str">
        <f>"4170065286                    "</f>
        <v xml:space="preserve">4170065286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22.36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70.959999999999994</v>
      </c>
      <c r="BM2411">
        <v>10.64</v>
      </c>
      <c r="BN2411">
        <v>81.599999999999994</v>
      </c>
      <c r="BO2411">
        <v>81.599999999999994</v>
      </c>
      <c r="BQ2411" t="s">
        <v>657</v>
      </c>
      <c r="BR2411" t="s">
        <v>97</v>
      </c>
      <c r="BS2411" s="3">
        <v>45952</v>
      </c>
      <c r="BT2411" s="4">
        <v>0.41666666666666669</v>
      </c>
      <c r="BU2411" t="s">
        <v>1442</v>
      </c>
      <c r="BV2411" t="s">
        <v>86</v>
      </c>
      <c r="BY2411">
        <v>1200</v>
      </c>
      <c r="CA2411" t="s">
        <v>770</v>
      </c>
      <c r="CC2411" t="s">
        <v>207</v>
      </c>
      <c r="CD2411">
        <v>7441</v>
      </c>
      <c r="CE2411" t="s">
        <v>147</v>
      </c>
      <c r="CF2411" s="3">
        <v>45953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"080068653357"</f>
        <v>080068653357</v>
      </c>
      <c r="F2412" s="3">
        <v>45951</v>
      </c>
      <c r="G2412">
        <v>202607</v>
      </c>
      <c r="H2412" t="s">
        <v>79</v>
      </c>
      <c r="I2412" t="s">
        <v>80</v>
      </c>
      <c r="J2412" t="s">
        <v>91</v>
      </c>
      <c r="K2412" t="s">
        <v>78</v>
      </c>
      <c r="L2412" t="s">
        <v>108</v>
      </c>
      <c r="M2412" t="s">
        <v>109</v>
      </c>
      <c r="N2412" t="s">
        <v>440</v>
      </c>
      <c r="O2412" t="s">
        <v>82</v>
      </c>
      <c r="P2412" t="str">
        <f>"4170065321                    "</f>
        <v xml:space="preserve">4170065321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39.11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3</v>
      </c>
      <c r="BJ2412">
        <v>3.1</v>
      </c>
      <c r="BK2412">
        <v>3.5</v>
      </c>
      <c r="BL2412">
        <v>124.13</v>
      </c>
      <c r="BM2412">
        <v>18.62</v>
      </c>
      <c r="BN2412">
        <v>142.75</v>
      </c>
      <c r="BO2412">
        <v>142.75</v>
      </c>
      <c r="BQ2412" t="s">
        <v>441</v>
      </c>
      <c r="BR2412" t="s">
        <v>97</v>
      </c>
      <c r="BS2412" s="3">
        <v>45952</v>
      </c>
      <c r="BT2412" s="4">
        <v>0.39305555555555555</v>
      </c>
      <c r="BU2412" t="s">
        <v>2995</v>
      </c>
      <c r="BV2412" t="s">
        <v>86</v>
      </c>
      <c r="BY2412">
        <v>15360</v>
      </c>
      <c r="CA2412" t="s">
        <v>113</v>
      </c>
      <c r="CC2412" t="s">
        <v>109</v>
      </c>
      <c r="CD2412">
        <v>6001</v>
      </c>
      <c r="CE2412" t="s">
        <v>191</v>
      </c>
      <c r="CF2412" s="3">
        <v>45952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"080068653368"</f>
        <v>080068653368</v>
      </c>
      <c r="F2413" s="3">
        <v>45951</v>
      </c>
      <c r="G2413">
        <v>202607</v>
      </c>
      <c r="H2413" t="s">
        <v>79</v>
      </c>
      <c r="I2413" t="s">
        <v>80</v>
      </c>
      <c r="J2413" t="s">
        <v>91</v>
      </c>
      <c r="K2413" t="s">
        <v>78</v>
      </c>
      <c r="L2413" t="s">
        <v>108</v>
      </c>
      <c r="M2413" t="s">
        <v>109</v>
      </c>
      <c r="N2413" t="s">
        <v>291</v>
      </c>
      <c r="O2413" t="s">
        <v>82</v>
      </c>
      <c r="P2413" t="str">
        <f>"4170065305                    "</f>
        <v xml:space="preserve">4170065305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22.36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70.959999999999994</v>
      </c>
      <c r="BM2413">
        <v>10.64</v>
      </c>
      <c r="BN2413">
        <v>81.599999999999994</v>
      </c>
      <c r="BO2413">
        <v>81.599999999999994</v>
      </c>
      <c r="BQ2413" t="s">
        <v>292</v>
      </c>
      <c r="BR2413" t="s">
        <v>97</v>
      </c>
      <c r="BS2413" s="3">
        <v>45952</v>
      </c>
      <c r="BT2413" s="4">
        <v>0.39166666666666666</v>
      </c>
      <c r="BU2413" t="s">
        <v>2996</v>
      </c>
      <c r="BV2413" t="s">
        <v>86</v>
      </c>
      <c r="BY2413">
        <v>1200</v>
      </c>
      <c r="CA2413" t="s">
        <v>294</v>
      </c>
      <c r="CC2413" t="s">
        <v>109</v>
      </c>
      <c r="CD2413">
        <v>6001</v>
      </c>
      <c r="CE2413" t="s">
        <v>147</v>
      </c>
      <c r="CF2413" s="3">
        <v>45952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"080068653389"</f>
        <v>080068653389</v>
      </c>
      <c r="F2414" s="3">
        <v>45951</v>
      </c>
      <c r="G2414">
        <v>202607</v>
      </c>
      <c r="H2414" t="s">
        <v>79</v>
      </c>
      <c r="I2414" t="s">
        <v>80</v>
      </c>
      <c r="J2414" t="s">
        <v>91</v>
      </c>
      <c r="K2414" t="s">
        <v>78</v>
      </c>
      <c r="L2414" t="s">
        <v>788</v>
      </c>
      <c r="M2414" t="s">
        <v>789</v>
      </c>
      <c r="N2414" t="s">
        <v>790</v>
      </c>
      <c r="O2414" t="s">
        <v>82</v>
      </c>
      <c r="P2414" t="str">
        <f>"4170065287                    "</f>
        <v xml:space="preserve">4170065287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43.31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1.6</v>
      </c>
      <c r="BJ2414">
        <v>1.3</v>
      </c>
      <c r="BK2414">
        <v>2</v>
      </c>
      <c r="BL2414">
        <v>137.47</v>
      </c>
      <c r="BM2414">
        <v>20.62</v>
      </c>
      <c r="BN2414">
        <v>158.09</v>
      </c>
      <c r="BO2414">
        <v>158.09</v>
      </c>
      <c r="BQ2414" t="s">
        <v>791</v>
      </c>
      <c r="BR2414" t="s">
        <v>97</v>
      </c>
      <c r="BS2414" s="3">
        <v>45952</v>
      </c>
      <c r="BT2414" s="4">
        <v>0.57152777777777775</v>
      </c>
      <c r="BU2414" t="s">
        <v>2824</v>
      </c>
      <c r="BV2414" t="s">
        <v>90</v>
      </c>
      <c r="BY2414">
        <v>6549</v>
      </c>
      <c r="CA2414" t="s">
        <v>793</v>
      </c>
      <c r="CC2414" t="s">
        <v>789</v>
      </c>
      <c r="CD2414">
        <v>3290</v>
      </c>
      <c r="CE2414" t="s">
        <v>191</v>
      </c>
      <c r="CF2414" s="3">
        <v>45953</v>
      </c>
      <c r="CI2414">
        <v>1</v>
      </c>
      <c r="CJ2414">
        <v>1</v>
      </c>
      <c r="CK2414">
        <v>23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"080068653393"</f>
        <v>080068653393</v>
      </c>
      <c r="F2415" s="3">
        <v>45951</v>
      </c>
      <c r="G2415">
        <v>202607</v>
      </c>
      <c r="H2415" t="s">
        <v>79</v>
      </c>
      <c r="I2415" t="s">
        <v>80</v>
      </c>
      <c r="J2415" t="s">
        <v>91</v>
      </c>
      <c r="K2415" t="s">
        <v>78</v>
      </c>
      <c r="L2415" t="s">
        <v>108</v>
      </c>
      <c r="M2415" t="s">
        <v>109</v>
      </c>
      <c r="N2415" t="s">
        <v>751</v>
      </c>
      <c r="O2415" t="s">
        <v>82</v>
      </c>
      <c r="P2415" t="str">
        <f>"4170065277                    "</f>
        <v xml:space="preserve">4170065277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22.36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70.959999999999994</v>
      </c>
      <c r="BM2415">
        <v>10.64</v>
      </c>
      <c r="BN2415">
        <v>81.599999999999994</v>
      </c>
      <c r="BO2415">
        <v>81.599999999999994</v>
      </c>
      <c r="BQ2415" t="s">
        <v>752</v>
      </c>
      <c r="BR2415" t="s">
        <v>97</v>
      </c>
      <c r="BS2415" s="3">
        <v>45952</v>
      </c>
      <c r="BT2415" s="4">
        <v>0.35208333333333336</v>
      </c>
      <c r="BU2415" t="s">
        <v>2851</v>
      </c>
      <c r="BV2415" t="s">
        <v>86</v>
      </c>
      <c r="BY2415">
        <v>1200</v>
      </c>
      <c r="CA2415" t="s">
        <v>1090</v>
      </c>
      <c r="CC2415" t="s">
        <v>109</v>
      </c>
      <c r="CD2415">
        <v>6001</v>
      </c>
      <c r="CE2415" t="s">
        <v>147</v>
      </c>
      <c r="CF2415" s="3">
        <v>45952</v>
      </c>
      <c r="CI2415">
        <v>1</v>
      </c>
      <c r="CJ2415">
        <v>1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"080068653406"</f>
        <v>080068653406</v>
      </c>
      <c r="F2416" s="3">
        <v>45951</v>
      </c>
      <c r="G2416">
        <v>202607</v>
      </c>
      <c r="H2416" t="s">
        <v>79</v>
      </c>
      <c r="I2416" t="s">
        <v>80</v>
      </c>
      <c r="J2416" t="s">
        <v>91</v>
      </c>
      <c r="K2416" t="s">
        <v>78</v>
      </c>
      <c r="L2416" t="s">
        <v>79</v>
      </c>
      <c r="M2416" t="s">
        <v>80</v>
      </c>
      <c r="N2416" t="s">
        <v>577</v>
      </c>
      <c r="O2416" t="s">
        <v>82</v>
      </c>
      <c r="P2416" t="str">
        <f>"4170065275                    "</f>
        <v xml:space="preserve">4170065275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17.46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55.42</v>
      </c>
      <c r="BM2416">
        <v>8.31</v>
      </c>
      <c r="BN2416">
        <v>63.73</v>
      </c>
      <c r="BO2416">
        <v>63.73</v>
      </c>
      <c r="BQ2416" t="s">
        <v>578</v>
      </c>
      <c r="BR2416" t="s">
        <v>97</v>
      </c>
      <c r="BS2416" s="3">
        <v>45952</v>
      </c>
      <c r="BT2416" s="4">
        <v>0.38541666666666669</v>
      </c>
      <c r="BU2416" t="s">
        <v>579</v>
      </c>
      <c r="BV2416" t="s">
        <v>86</v>
      </c>
      <c r="BY2416">
        <v>1200</v>
      </c>
      <c r="CA2416" t="s">
        <v>580</v>
      </c>
      <c r="CC2416" t="s">
        <v>80</v>
      </c>
      <c r="CD2416">
        <v>1619</v>
      </c>
      <c r="CE2416" t="s">
        <v>147</v>
      </c>
      <c r="CF2416" s="3">
        <v>45953</v>
      </c>
      <c r="CI2416">
        <v>1</v>
      </c>
      <c r="CJ2416">
        <v>1</v>
      </c>
      <c r="CK2416">
        <v>22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"080068653412"</f>
        <v>080068653412</v>
      </c>
      <c r="F2417" s="3">
        <v>45951</v>
      </c>
      <c r="G2417">
        <v>202607</v>
      </c>
      <c r="H2417" t="s">
        <v>79</v>
      </c>
      <c r="I2417" t="s">
        <v>80</v>
      </c>
      <c r="J2417" t="s">
        <v>91</v>
      </c>
      <c r="K2417" t="s">
        <v>78</v>
      </c>
      <c r="L2417" t="s">
        <v>168</v>
      </c>
      <c r="M2417" t="s">
        <v>169</v>
      </c>
      <c r="N2417" t="s">
        <v>1541</v>
      </c>
      <c r="O2417" t="s">
        <v>82</v>
      </c>
      <c r="P2417" t="str">
        <f>"4170065298                    "</f>
        <v xml:space="preserve">4170065298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22.36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1.9</v>
      </c>
      <c r="BK2417">
        <v>2</v>
      </c>
      <c r="BL2417">
        <v>70.959999999999994</v>
      </c>
      <c r="BM2417">
        <v>10.64</v>
      </c>
      <c r="BN2417">
        <v>81.599999999999994</v>
      </c>
      <c r="BO2417">
        <v>81.599999999999994</v>
      </c>
      <c r="BQ2417" t="s">
        <v>1542</v>
      </c>
      <c r="BR2417" t="s">
        <v>97</v>
      </c>
      <c r="BS2417" s="3">
        <v>45952</v>
      </c>
      <c r="BT2417" s="4">
        <v>0.3840277777777778</v>
      </c>
      <c r="BU2417" t="s">
        <v>2209</v>
      </c>
      <c r="BV2417" t="s">
        <v>86</v>
      </c>
      <c r="BY2417">
        <v>9600</v>
      </c>
      <c r="CA2417">
        <v>7709040539081</v>
      </c>
      <c r="CC2417" t="s">
        <v>169</v>
      </c>
      <c r="CD2417" s="5" t="s">
        <v>173</v>
      </c>
      <c r="CE2417" t="s">
        <v>191</v>
      </c>
      <c r="CF2417" s="3">
        <v>45952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"080068653427"</f>
        <v>080068653427</v>
      </c>
      <c r="F2418" s="3">
        <v>45951</v>
      </c>
      <c r="G2418">
        <v>202607</v>
      </c>
      <c r="H2418" t="s">
        <v>79</v>
      </c>
      <c r="I2418" t="s">
        <v>80</v>
      </c>
      <c r="J2418" t="s">
        <v>91</v>
      </c>
      <c r="K2418" t="s">
        <v>78</v>
      </c>
      <c r="L2418" t="s">
        <v>148</v>
      </c>
      <c r="M2418" t="s">
        <v>149</v>
      </c>
      <c r="N2418" t="s">
        <v>2997</v>
      </c>
      <c r="O2418" t="s">
        <v>82</v>
      </c>
      <c r="P2418" t="str">
        <f>"4170065263                    "</f>
        <v xml:space="preserve">4170065263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17.46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55.42</v>
      </c>
      <c r="BM2418">
        <v>8.31</v>
      </c>
      <c r="BN2418">
        <v>63.73</v>
      </c>
      <c r="BO2418">
        <v>63.73</v>
      </c>
      <c r="BQ2418" t="s">
        <v>2998</v>
      </c>
      <c r="BR2418" t="s">
        <v>97</v>
      </c>
      <c r="BS2418" s="3">
        <v>45952</v>
      </c>
      <c r="BT2418" s="4">
        <v>0.37291666666666667</v>
      </c>
      <c r="BU2418" t="s">
        <v>2999</v>
      </c>
      <c r="BV2418" t="s">
        <v>86</v>
      </c>
      <c r="BY2418">
        <v>1200</v>
      </c>
      <c r="CA2418" t="s">
        <v>1217</v>
      </c>
      <c r="CC2418" t="s">
        <v>149</v>
      </c>
      <c r="CD2418">
        <v>2091</v>
      </c>
      <c r="CE2418" t="s">
        <v>147</v>
      </c>
      <c r="CF2418" s="3">
        <v>45953</v>
      </c>
      <c r="CI2418">
        <v>1</v>
      </c>
      <c r="CJ2418">
        <v>1</v>
      </c>
      <c r="CK2418">
        <v>22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"080068653431"</f>
        <v>080068653431</v>
      </c>
      <c r="F2419" s="3">
        <v>45951</v>
      </c>
      <c r="G2419">
        <v>202607</v>
      </c>
      <c r="H2419" t="s">
        <v>79</v>
      </c>
      <c r="I2419" t="s">
        <v>80</v>
      </c>
      <c r="J2419" t="s">
        <v>91</v>
      </c>
      <c r="K2419" t="s">
        <v>78</v>
      </c>
      <c r="L2419" t="s">
        <v>168</v>
      </c>
      <c r="M2419" t="s">
        <v>169</v>
      </c>
      <c r="N2419" t="s">
        <v>3000</v>
      </c>
      <c r="O2419" t="s">
        <v>82</v>
      </c>
      <c r="P2419" t="str">
        <f>"4170065284                    "</f>
        <v xml:space="preserve">4170065284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22.36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2</v>
      </c>
      <c r="BJ2419">
        <v>1.3</v>
      </c>
      <c r="BK2419">
        <v>2</v>
      </c>
      <c r="BL2419">
        <v>70.959999999999994</v>
      </c>
      <c r="BM2419">
        <v>10.64</v>
      </c>
      <c r="BN2419">
        <v>81.599999999999994</v>
      </c>
      <c r="BO2419">
        <v>81.599999999999994</v>
      </c>
      <c r="BQ2419" t="s">
        <v>3001</v>
      </c>
      <c r="BR2419" t="s">
        <v>97</v>
      </c>
      <c r="BS2419" s="3">
        <v>45952</v>
      </c>
      <c r="BT2419" s="4">
        <v>0.46111111111111114</v>
      </c>
      <c r="BU2419" t="s">
        <v>3002</v>
      </c>
      <c r="BV2419" t="s">
        <v>90</v>
      </c>
      <c r="BY2419">
        <v>6612</v>
      </c>
      <c r="CC2419" t="s">
        <v>169</v>
      </c>
      <c r="CD2419" s="5" t="s">
        <v>1061</v>
      </c>
      <c r="CE2419" t="s">
        <v>191</v>
      </c>
      <c r="CF2419" s="3">
        <v>45952</v>
      </c>
      <c r="CI2419">
        <v>1</v>
      </c>
      <c r="CJ2419">
        <v>1</v>
      </c>
      <c r="CK2419">
        <v>21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"080068653459"</f>
        <v>080068653459</v>
      </c>
      <c r="F2420" s="3">
        <v>45951</v>
      </c>
      <c r="G2420">
        <v>202607</v>
      </c>
      <c r="H2420" t="s">
        <v>79</v>
      </c>
      <c r="I2420" t="s">
        <v>80</v>
      </c>
      <c r="J2420" t="s">
        <v>91</v>
      </c>
      <c r="K2420" t="s">
        <v>78</v>
      </c>
      <c r="L2420" t="s">
        <v>246</v>
      </c>
      <c r="M2420" t="s">
        <v>247</v>
      </c>
      <c r="N2420" t="s">
        <v>248</v>
      </c>
      <c r="O2420" t="s">
        <v>95</v>
      </c>
      <c r="P2420" t="str">
        <f>"4170065300                    "</f>
        <v xml:space="preserve">4170065300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60.97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16.739999999999998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3</v>
      </c>
      <c r="BJ2420">
        <v>4.5</v>
      </c>
      <c r="BK2420">
        <v>5</v>
      </c>
      <c r="BL2420">
        <v>216.13</v>
      </c>
      <c r="BM2420">
        <v>32.42</v>
      </c>
      <c r="BN2420">
        <v>248.55</v>
      </c>
      <c r="BO2420">
        <v>248.55</v>
      </c>
      <c r="BQ2420" t="s">
        <v>249</v>
      </c>
      <c r="BR2420" t="s">
        <v>97</v>
      </c>
      <c r="BS2420" s="3">
        <v>45952</v>
      </c>
      <c r="BT2420" s="4">
        <v>0.51180555555555551</v>
      </c>
      <c r="BU2420" t="s">
        <v>2873</v>
      </c>
      <c r="BV2420" t="s">
        <v>86</v>
      </c>
      <c r="BY2420">
        <v>22620</v>
      </c>
      <c r="BZ2420" t="s">
        <v>30</v>
      </c>
      <c r="CA2420" t="s">
        <v>146</v>
      </c>
      <c r="CC2420" t="s">
        <v>247</v>
      </c>
      <c r="CD2420" s="5" t="s">
        <v>252</v>
      </c>
      <c r="CE2420" t="s">
        <v>191</v>
      </c>
      <c r="CF2420" s="3">
        <v>45953</v>
      </c>
      <c r="CI2420">
        <v>1</v>
      </c>
      <c r="CJ2420">
        <v>1</v>
      </c>
      <c r="CK2420">
        <v>43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"080068653544"</f>
        <v>080068653544</v>
      </c>
      <c r="F2421" s="3">
        <v>45951</v>
      </c>
      <c r="G2421">
        <v>202607</v>
      </c>
      <c r="H2421" t="s">
        <v>79</v>
      </c>
      <c r="I2421" t="s">
        <v>80</v>
      </c>
      <c r="J2421" t="s">
        <v>91</v>
      </c>
      <c r="K2421" t="s">
        <v>78</v>
      </c>
      <c r="L2421" t="s">
        <v>206</v>
      </c>
      <c r="M2421" t="s">
        <v>207</v>
      </c>
      <c r="N2421" t="s">
        <v>477</v>
      </c>
      <c r="O2421" t="s">
        <v>82</v>
      </c>
      <c r="P2421" t="str">
        <f>"4170065328                    "</f>
        <v xml:space="preserve">4170065328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22.36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1.4</v>
      </c>
      <c r="BK2421">
        <v>1.5</v>
      </c>
      <c r="BL2421">
        <v>70.959999999999994</v>
      </c>
      <c r="BM2421">
        <v>10.64</v>
      </c>
      <c r="BN2421">
        <v>81.599999999999994</v>
      </c>
      <c r="BO2421">
        <v>81.599999999999994</v>
      </c>
      <c r="BQ2421" t="s">
        <v>478</v>
      </c>
      <c r="BR2421" t="s">
        <v>97</v>
      </c>
      <c r="BS2421" s="3">
        <v>45952</v>
      </c>
      <c r="BT2421" s="4">
        <v>0.40763888888888888</v>
      </c>
      <c r="BU2421" t="s">
        <v>3003</v>
      </c>
      <c r="BV2421" t="s">
        <v>86</v>
      </c>
      <c r="BY2421">
        <v>7000</v>
      </c>
      <c r="CA2421" t="s">
        <v>480</v>
      </c>
      <c r="CC2421" t="s">
        <v>207</v>
      </c>
      <c r="CD2421">
        <v>7480</v>
      </c>
      <c r="CE2421" t="s">
        <v>191</v>
      </c>
      <c r="CF2421" s="3">
        <v>45953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"080068652750"</f>
        <v>080068652750</v>
      </c>
      <c r="F2422" s="3">
        <v>45951</v>
      </c>
      <c r="G2422">
        <v>202607</v>
      </c>
      <c r="H2422" t="s">
        <v>79</v>
      </c>
      <c r="I2422" t="s">
        <v>80</v>
      </c>
      <c r="J2422" t="s">
        <v>91</v>
      </c>
      <c r="K2422" t="s">
        <v>78</v>
      </c>
      <c r="L2422" t="s">
        <v>108</v>
      </c>
      <c r="M2422" t="s">
        <v>109</v>
      </c>
      <c r="N2422" t="s">
        <v>2973</v>
      </c>
      <c r="O2422" t="s">
        <v>82</v>
      </c>
      <c r="P2422" t="str">
        <f>"4170065288                    "</f>
        <v xml:space="preserve">4170065288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</v>
      </c>
      <c r="BK2422">
        <v>1</v>
      </c>
      <c r="BL2422">
        <v>0</v>
      </c>
      <c r="BM2422">
        <v>0</v>
      </c>
      <c r="BN2422">
        <v>0</v>
      </c>
      <c r="BO2422">
        <v>0</v>
      </c>
      <c r="BQ2422" t="s">
        <v>2974</v>
      </c>
      <c r="BR2422" t="s">
        <v>97</v>
      </c>
      <c r="BS2422" s="3">
        <v>45951</v>
      </c>
      <c r="BT2422" s="4">
        <v>0.70486111111111116</v>
      </c>
      <c r="BU2422" t="s">
        <v>3004</v>
      </c>
      <c r="BV2422" t="s">
        <v>86</v>
      </c>
      <c r="BY2422">
        <v>1200</v>
      </c>
      <c r="CC2422" t="s">
        <v>109</v>
      </c>
      <c r="CD2422">
        <v>6001</v>
      </c>
      <c r="CE2422" t="s">
        <v>2014</v>
      </c>
      <c r="CF2422" s="3">
        <v>45957</v>
      </c>
      <c r="CI2422">
        <v>1</v>
      </c>
      <c r="CJ2422">
        <v>0</v>
      </c>
      <c r="CK2422">
        <v>-1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"080068581814"</f>
        <v>080068581814</v>
      </c>
      <c r="F2423" s="3">
        <v>45947</v>
      </c>
      <c r="G2423">
        <v>202607</v>
      </c>
      <c r="H2423" t="s">
        <v>79</v>
      </c>
      <c r="I2423" t="s">
        <v>80</v>
      </c>
      <c r="J2423" t="s">
        <v>91</v>
      </c>
      <c r="K2423" t="s">
        <v>78</v>
      </c>
      <c r="L2423" t="s">
        <v>3005</v>
      </c>
      <c r="M2423" t="s">
        <v>3006</v>
      </c>
      <c r="N2423" t="s">
        <v>3007</v>
      </c>
      <c r="O2423" t="s">
        <v>95</v>
      </c>
      <c r="P2423" t="str">
        <f>"4170064653                    "</f>
        <v xml:space="preserve">4170064653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60.97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3.1</v>
      </c>
      <c r="BJ2423">
        <v>5</v>
      </c>
      <c r="BK2423">
        <v>5</v>
      </c>
      <c r="BL2423">
        <v>199.39</v>
      </c>
      <c r="BM2423">
        <v>29.91</v>
      </c>
      <c r="BN2423">
        <v>229.3</v>
      </c>
      <c r="BO2423">
        <v>229.3</v>
      </c>
      <c r="BQ2423" t="s">
        <v>3008</v>
      </c>
      <c r="BR2423" t="s">
        <v>97</v>
      </c>
      <c r="BS2423" s="3">
        <v>45951</v>
      </c>
      <c r="BT2423" s="4">
        <v>0.51736111111111116</v>
      </c>
      <c r="BU2423" t="s">
        <v>3009</v>
      </c>
      <c r="BV2423" t="s">
        <v>90</v>
      </c>
      <c r="BY2423">
        <v>25111.73</v>
      </c>
      <c r="BZ2423" t="s">
        <v>2096</v>
      </c>
      <c r="CC2423" t="s">
        <v>3006</v>
      </c>
      <c r="CD2423" s="5" t="s">
        <v>3010</v>
      </c>
      <c r="CE2423" t="s">
        <v>101</v>
      </c>
      <c r="CF2423" s="3">
        <v>45952</v>
      </c>
      <c r="CI2423">
        <v>1</v>
      </c>
      <c r="CJ2423">
        <v>2</v>
      </c>
      <c r="CK2423">
        <v>43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"080068582043"</f>
        <v>080068582043</v>
      </c>
      <c r="F2424" s="3">
        <v>45947</v>
      </c>
      <c r="G2424">
        <v>202607</v>
      </c>
      <c r="H2424" t="s">
        <v>79</v>
      </c>
      <c r="I2424" t="s">
        <v>80</v>
      </c>
      <c r="J2424" t="s">
        <v>91</v>
      </c>
      <c r="K2424" t="s">
        <v>78</v>
      </c>
      <c r="L2424" t="s">
        <v>350</v>
      </c>
      <c r="M2424" t="s">
        <v>351</v>
      </c>
      <c r="N2424" t="s">
        <v>2644</v>
      </c>
      <c r="O2424" t="s">
        <v>95</v>
      </c>
      <c r="P2424" t="str">
        <f>"4170064754                    "</f>
        <v xml:space="preserve">4170064754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60.97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7.1</v>
      </c>
      <c r="BJ2424">
        <v>14.7</v>
      </c>
      <c r="BK2424">
        <v>15</v>
      </c>
      <c r="BL2424">
        <v>199.39</v>
      </c>
      <c r="BM2424">
        <v>29.91</v>
      </c>
      <c r="BN2424">
        <v>229.3</v>
      </c>
      <c r="BO2424">
        <v>229.3</v>
      </c>
      <c r="BQ2424" t="s">
        <v>2645</v>
      </c>
      <c r="BR2424" t="s">
        <v>97</v>
      </c>
      <c r="BS2424" s="3">
        <v>45950</v>
      </c>
      <c r="BT2424" s="4">
        <v>0.43402777777777779</v>
      </c>
      <c r="BU2424" t="s">
        <v>2646</v>
      </c>
      <c r="BV2424" t="s">
        <v>86</v>
      </c>
      <c r="BY2424">
        <v>73617.919999999998</v>
      </c>
      <c r="BZ2424" t="s">
        <v>2096</v>
      </c>
      <c r="CA2424" t="s">
        <v>355</v>
      </c>
      <c r="CC2424" t="s">
        <v>351</v>
      </c>
      <c r="CD2424" s="5" t="s">
        <v>1911</v>
      </c>
      <c r="CE2424" t="s">
        <v>101</v>
      </c>
      <c r="CF2424" s="3">
        <v>45951</v>
      </c>
      <c r="CI2424">
        <v>1</v>
      </c>
      <c r="CJ2424">
        <v>1</v>
      </c>
      <c r="CK2424">
        <v>43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"080068584208"</f>
        <v>080068584208</v>
      </c>
      <c r="F2425" s="3">
        <v>45947</v>
      </c>
      <c r="G2425">
        <v>202607</v>
      </c>
      <c r="H2425" t="s">
        <v>79</v>
      </c>
      <c r="I2425" t="s">
        <v>80</v>
      </c>
      <c r="J2425" t="s">
        <v>91</v>
      </c>
      <c r="K2425" t="s">
        <v>78</v>
      </c>
      <c r="L2425" t="s">
        <v>605</v>
      </c>
      <c r="M2425" t="s">
        <v>606</v>
      </c>
      <c r="N2425" t="s">
        <v>607</v>
      </c>
      <c r="O2425" t="s">
        <v>95</v>
      </c>
      <c r="P2425" t="str">
        <f>"4170064804                    "</f>
        <v xml:space="preserve">4170064804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60.97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6</v>
      </c>
      <c r="BJ2425">
        <v>3.8</v>
      </c>
      <c r="BK2425">
        <v>6</v>
      </c>
      <c r="BL2425">
        <v>199.39</v>
      </c>
      <c r="BM2425">
        <v>29.91</v>
      </c>
      <c r="BN2425">
        <v>229.3</v>
      </c>
      <c r="BO2425">
        <v>229.3</v>
      </c>
      <c r="BQ2425" t="s">
        <v>608</v>
      </c>
      <c r="BR2425" t="s">
        <v>97</v>
      </c>
      <c r="BS2425" s="3">
        <v>45950</v>
      </c>
      <c r="BT2425" s="4">
        <v>0.3659722222222222</v>
      </c>
      <c r="BU2425" t="s">
        <v>609</v>
      </c>
      <c r="BV2425" t="s">
        <v>86</v>
      </c>
      <c r="BY2425">
        <v>19227</v>
      </c>
      <c r="BZ2425" t="s">
        <v>2096</v>
      </c>
      <c r="CA2425" t="s">
        <v>1143</v>
      </c>
      <c r="CC2425" t="s">
        <v>606</v>
      </c>
      <c r="CD2425">
        <v>1947</v>
      </c>
      <c r="CE2425" t="s">
        <v>101</v>
      </c>
      <c r="CF2425" s="3">
        <v>45951</v>
      </c>
      <c r="CI2425">
        <v>1</v>
      </c>
      <c r="CJ2425">
        <v>1</v>
      </c>
      <c r="CK2425">
        <v>43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"080068669352"</f>
        <v>080068669352</v>
      </c>
      <c r="F2426" s="3">
        <v>45952</v>
      </c>
      <c r="G2426">
        <v>202607</v>
      </c>
      <c r="H2426" t="s">
        <v>79</v>
      </c>
      <c r="I2426" t="s">
        <v>80</v>
      </c>
      <c r="J2426" t="s">
        <v>91</v>
      </c>
      <c r="K2426" t="s">
        <v>78</v>
      </c>
      <c r="L2426" t="s">
        <v>121</v>
      </c>
      <c r="M2426" t="s">
        <v>122</v>
      </c>
      <c r="N2426" t="s">
        <v>123</v>
      </c>
      <c r="O2426" t="s">
        <v>82</v>
      </c>
      <c r="P2426" t="str">
        <f>"4170065555                    "</f>
        <v xml:space="preserve">4170065555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22.36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70.959999999999994</v>
      </c>
      <c r="BM2426">
        <v>10.64</v>
      </c>
      <c r="BN2426">
        <v>81.599999999999994</v>
      </c>
      <c r="BO2426">
        <v>81.599999999999994</v>
      </c>
      <c r="BQ2426" t="s">
        <v>124</v>
      </c>
      <c r="BR2426" t="s">
        <v>97</v>
      </c>
      <c r="BS2426" s="3">
        <v>45953</v>
      </c>
      <c r="BT2426" s="4">
        <v>0.33680555555555558</v>
      </c>
      <c r="BU2426" t="s">
        <v>125</v>
      </c>
      <c r="BV2426" t="s">
        <v>86</v>
      </c>
      <c r="BY2426">
        <v>1200</v>
      </c>
      <c r="CA2426" t="s">
        <v>126</v>
      </c>
      <c r="CC2426" t="s">
        <v>122</v>
      </c>
      <c r="CD2426">
        <v>4051</v>
      </c>
      <c r="CE2426" t="s">
        <v>147</v>
      </c>
      <c r="CF2426" s="3">
        <v>45953</v>
      </c>
      <c r="CI2426">
        <v>1</v>
      </c>
      <c r="CJ2426">
        <v>1</v>
      </c>
      <c r="CK2426">
        <v>21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"080068669377"</f>
        <v>080068669377</v>
      </c>
      <c r="F2427" s="3">
        <v>45952</v>
      </c>
      <c r="G2427">
        <v>202607</v>
      </c>
      <c r="H2427" t="s">
        <v>79</v>
      </c>
      <c r="I2427" t="s">
        <v>80</v>
      </c>
      <c r="J2427" t="s">
        <v>91</v>
      </c>
      <c r="K2427" t="s">
        <v>78</v>
      </c>
      <c r="L2427" t="s">
        <v>223</v>
      </c>
      <c r="M2427" t="s">
        <v>224</v>
      </c>
      <c r="N2427" t="s">
        <v>1464</v>
      </c>
      <c r="O2427" t="s">
        <v>82</v>
      </c>
      <c r="P2427" t="str">
        <f>"4170065422                    "</f>
        <v xml:space="preserve">4170065422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17.46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55.42</v>
      </c>
      <c r="BM2427">
        <v>8.31</v>
      </c>
      <c r="BN2427">
        <v>63.73</v>
      </c>
      <c r="BO2427">
        <v>63.73</v>
      </c>
      <c r="BQ2427" t="s">
        <v>1465</v>
      </c>
      <c r="BR2427" t="s">
        <v>97</v>
      </c>
      <c r="BS2427" s="3">
        <v>45953</v>
      </c>
      <c r="BT2427" s="4">
        <v>0.36388888888888887</v>
      </c>
      <c r="BU2427" t="s">
        <v>2518</v>
      </c>
      <c r="BV2427" t="s">
        <v>86</v>
      </c>
      <c r="BY2427">
        <v>1200</v>
      </c>
      <c r="CA2427" t="s">
        <v>1110</v>
      </c>
      <c r="CC2427" t="s">
        <v>224</v>
      </c>
      <c r="CD2427">
        <v>1459</v>
      </c>
      <c r="CE2427" t="s">
        <v>147</v>
      </c>
      <c r="CF2427" s="3">
        <v>45953</v>
      </c>
      <c r="CI2427">
        <v>1</v>
      </c>
      <c r="CJ2427">
        <v>1</v>
      </c>
      <c r="CK2427">
        <v>22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"080068669537"</f>
        <v>080068669537</v>
      </c>
      <c r="F2428" s="3">
        <v>45952</v>
      </c>
      <c r="G2428">
        <v>202607</v>
      </c>
      <c r="H2428" t="s">
        <v>79</v>
      </c>
      <c r="I2428" t="s">
        <v>80</v>
      </c>
      <c r="J2428" t="s">
        <v>91</v>
      </c>
      <c r="K2428" t="s">
        <v>78</v>
      </c>
      <c r="L2428" t="s">
        <v>206</v>
      </c>
      <c r="M2428" t="s">
        <v>207</v>
      </c>
      <c r="N2428" t="s">
        <v>361</v>
      </c>
      <c r="O2428" t="s">
        <v>82</v>
      </c>
      <c r="P2428" t="str">
        <f>"4170065531                    "</f>
        <v xml:space="preserve">4170065531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22.36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70.959999999999994</v>
      </c>
      <c r="BM2428">
        <v>10.64</v>
      </c>
      <c r="BN2428">
        <v>81.599999999999994</v>
      </c>
      <c r="BO2428">
        <v>81.599999999999994</v>
      </c>
      <c r="BQ2428" t="s">
        <v>362</v>
      </c>
      <c r="BR2428" t="s">
        <v>97</v>
      </c>
      <c r="BS2428" s="3">
        <v>45953</v>
      </c>
      <c r="BT2428" s="4">
        <v>0.42499999999999999</v>
      </c>
      <c r="BU2428" t="s">
        <v>3011</v>
      </c>
      <c r="BV2428" t="s">
        <v>86</v>
      </c>
      <c r="BY2428">
        <v>1200</v>
      </c>
      <c r="CA2428" t="s">
        <v>364</v>
      </c>
      <c r="CC2428" t="s">
        <v>207</v>
      </c>
      <c r="CD2428">
        <v>7535</v>
      </c>
      <c r="CE2428" t="s">
        <v>147</v>
      </c>
      <c r="CF2428" s="3">
        <v>45954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"080068669580"</f>
        <v>080068669580</v>
      </c>
      <c r="F2429" s="3">
        <v>45952</v>
      </c>
      <c r="G2429">
        <v>202607</v>
      </c>
      <c r="H2429" t="s">
        <v>79</v>
      </c>
      <c r="I2429" t="s">
        <v>80</v>
      </c>
      <c r="J2429" t="s">
        <v>91</v>
      </c>
      <c r="K2429" t="s">
        <v>78</v>
      </c>
      <c r="L2429" t="s">
        <v>114</v>
      </c>
      <c r="M2429" t="s">
        <v>115</v>
      </c>
      <c r="N2429" t="s">
        <v>1014</v>
      </c>
      <c r="O2429" t="s">
        <v>82</v>
      </c>
      <c r="P2429" t="str">
        <f>"4170065342                    "</f>
        <v xml:space="preserve">4170065342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122.88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11</v>
      </c>
      <c r="BJ2429">
        <v>6.9</v>
      </c>
      <c r="BK2429">
        <v>11</v>
      </c>
      <c r="BL2429">
        <v>390</v>
      </c>
      <c r="BM2429">
        <v>58.5</v>
      </c>
      <c r="BN2429">
        <v>448.5</v>
      </c>
      <c r="BO2429">
        <v>448.5</v>
      </c>
      <c r="BQ2429" t="s">
        <v>1015</v>
      </c>
      <c r="BR2429" t="s">
        <v>97</v>
      </c>
      <c r="BS2429" s="3">
        <v>45953</v>
      </c>
      <c r="BT2429" s="4">
        <v>0.48749999999999999</v>
      </c>
      <c r="BU2429" t="s">
        <v>3012</v>
      </c>
      <c r="BV2429" t="s">
        <v>90</v>
      </c>
      <c r="BY2429">
        <v>34656</v>
      </c>
      <c r="CA2429" t="s">
        <v>1017</v>
      </c>
      <c r="CC2429" t="s">
        <v>115</v>
      </c>
      <c r="CD2429">
        <v>5200</v>
      </c>
      <c r="CE2429" t="s">
        <v>191</v>
      </c>
      <c r="CF2429" s="3">
        <v>45954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"080068669591"</f>
        <v>080068669591</v>
      </c>
      <c r="F2430" s="3">
        <v>45952</v>
      </c>
      <c r="G2430">
        <v>202607</v>
      </c>
      <c r="H2430" t="s">
        <v>79</v>
      </c>
      <c r="I2430" t="s">
        <v>80</v>
      </c>
      <c r="J2430" t="s">
        <v>91</v>
      </c>
      <c r="K2430" t="s">
        <v>78</v>
      </c>
      <c r="L2430" t="s">
        <v>168</v>
      </c>
      <c r="M2430" t="s">
        <v>169</v>
      </c>
      <c r="N2430" t="s">
        <v>584</v>
      </c>
      <c r="O2430" t="s">
        <v>82</v>
      </c>
      <c r="P2430" t="str">
        <f>"4170065380                    "</f>
        <v xml:space="preserve">4170065380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22.36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70.959999999999994</v>
      </c>
      <c r="BM2430">
        <v>10.64</v>
      </c>
      <c r="BN2430">
        <v>81.599999999999994</v>
      </c>
      <c r="BO2430">
        <v>81.599999999999994</v>
      </c>
      <c r="BQ2430" t="s">
        <v>585</v>
      </c>
      <c r="BR2430" t="s">
        <v>97</v>
      </c>
      <c r="BS2430" s="3">
        <v>45953</v>
      </c>
      <c r="BT2430" s="4">
        <v>0.39374999999999999</v>
      </c>
      <c r="BU2430" t="s">
        <v>1159</v>
      </c>
      <c r="BV2430" t="s">
        <v>86</v>
      </c>
      <c r="BY2430">
        <v>1200</v>
      </c>
      <c r="CA2430">
        <v>8303236124087</v>
      </c>
      <c r="CC2430" t="s">
        <v>169</v>
      </c>
      <c r="CD2430" s="5" t="s">
        <v>190</v>
      </c>
      <c r="CE2430" t="s">
        <v>147</v>
      </c>
      <c r="CF2430" s="3">
        <v>45953</v>
      </c>
      <c r="CI2430">
        <v>1</v>
      </c>
      <c r="CJ2430">
        <v>1</v>
      </c>
      <c r="CK2430">
        <v>21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"080068669640"</f>
        <v>080068669640</v>
      </c>
      <c r="F2431" s="3">
        <v>45952</v>
      </c>
      <c r="G2431">
        <v>202607</v>
      </c>
      <c r="H2431" t="s">
        <v>79</v>
      </c>
      <c r="I2431" t="s">
        <v>80</v>
      </c>
      <c r="J2431" t="s">
        <v>91</v>
      </c>
      <c r="K2431" t="s">
        <v>78</v>
      </c>
      <c r="L2431" t="s">
        <v>3013</v>
      </c>
      <c r="M2431" t="s">
        <v>3014</v>
      </c>
      <c r="N2431" t="s">
        <v>3015</v>
      </c>
      <c r="O2431" t="s">
        <v>82</v>
      </c>
      <c r="P2431" t="str">
        <f>"4170065411                    "</f>
        <v xml:space="preserve">4170065411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92.21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4.0999999999999996</v>
      </c>
      <c r="BK2431">
        <v>4.5</v>
      </c>
      <c r="BL2431">
        <v>292.67</v>
      </c>
      <c r="BM2431">
        <v>43.9</v>
      </c>
      <c r="BN2431">
        <v>336.57</v>
      </c>
      <c r="BO2431">
        <v>336.57</v>
      </c>
      <c r="BQ2431" t="s">
        <v>3016</v>
      </c>
      <c r="BR2431" t="s">
        <v>97</v>
      </c>
      <c r="BS2431" s="3">
        <v>45953</v>
      </c>
      <c r="BT2431" s="4">
        <v>0.46388888888888891</v>
      </c>
      <c r="BU2431" t="s">
        <v>3017</v>
      </c>
      <c r="BV2431" t="s">
        <v>86</v>
      </c>
      <c r="BY2431">
        <v>20358</v>
      </c>
      <c r="CA2431" t="s">
        <v>3018</v>
      </c>
      <c r="CC2431" t="s">
        <v>3014</v>
      </c>
      <c r="CD2431">
        <v>7185</v>
      </c>
      <c r="CE2431" t="s">
        <v>191</v>
      </c>
      <c r="CF2431" s="3">
        <v>45954</v>
      </c>
      <c r="CI2431">
        <v>2</v>
      </c>
      <c r="CJ2431">
        <v>1</v>
      </c>
      <c r="CK2431">
        <v>23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"080068670071"</f>
        <v>080068670071</v>
      </c>
      <c r="F2432" s="3">
        <v>45952</v>
      </c>
      <c r="G2432">
        <v>202607</v>
      </c>
      <c r="H2432" t="s">
        <v>79</v>
      </c>
      <c r="I2432" t="s">
        <v>80</v>
      </c>
      <c r="J2432" t="s">
        <v>91</v>
      </c>
      <c r="K2432" t="s">
        <v>78</v>
      </c>
      <c r="L2432" t="s">
        <v>148</v>
      </c>
      <c r="M2432" t="s">
        <v>149</v>
      </c>
      <c r="N2432" t="s">
        <v>465</v>
      </c>
      <c r="O2432" t="s">
        <v>82</v>
      </c>
      <c r="P2432" t="str">
        <f>"4170065412                    "</f>
        <v xml:space="preserve">4170065412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17.46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55.42</v>
      </c>
      <c r="BM2432">
        <v>8.31</v>
      </c>
      <c r="BN2432">
        <v>63.73</v>
      </c>
      <c r="BO2432">
        <v>63.73</v>
      </c>
      <c r="BQ2432" t="s">
        <v>466</v>
      </c>
      <c r="BR2432" t="s">
        <v>97</v>
      </c>
      <c r="BS2432" s="3">
        <v>45953</v>
      </c>
      <c r="BT2432" s="4">
        <v>0.41666666666666669</v>
      </c>
      <c r="BU2432" t="s">
        <v>1658</v>
      </c>
      <c r="BV2432" t="s">
        <v>86</v>
      </c>
      <c r="BY2432">
        <v>1200</v>
      </c>
      <c r="CA2432" t="s">
        <v>2853</v>
      </c>
      <c r="CC2432" t="s">
        <v>149</v>
      </c>
      <c r="CD2432">
        <v>2094</v>
      </c>
      <c r="CE2432" t="s">
        <v>147</v>
      </c>
      <c r="CF2432" s="3">
        <v>45954</v>
      </c>
      <c r="CI2432">
        <v>1</v>
      </c>
      <c r="CJ2432">
        <v>1</v>
      </c>
      <c r="CK2432">
        <v>22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"080068670100"</f>
        <v>080068670100</v>
      </c>
      <c r="F2433" s="3">
        <v>45952</v>
      </c>
      <c r="G2433">
        <v>202607</v>
      </c>
      <c r="H2433" t="s">
        <v>79</v>
      </c>
      <c r="I2433" t="s">
        <v>80</v>
      </c>
      <c r="J2433" t="s">
        <v>91</v>
      </c>
      <c r="K2433" t="s">
        <v>78</v>
      </c>
      <c r="L2433" t="s">
        <v>406</v>
      </c>
      <c r="M2433" t="s">
        <v>407</v>
      </c>
      <c r="N2433" t="s">
        <v>797</v>
      </c>
      <c r="O2433" t="s">
        <v>82</v>
      </c>
      <c r="P2433" t="str">
        <f>"4170065464                    "</f>
        <v xml:space="preserve">4170065464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31.44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</v>
      </c>
      <c r="BJ2433">
        <v>1.8</v>
      </c>
      <c r="BK2433">
        <v>2</v>
      </c>
      <c r="BL2433">
        <v>99.79</v>
      </c>
      <c r="BM2433">
        <v>14.97</v>
      </c>
      <c r="BN2433">
        <v>114.76</v>
      </c>
      <c r="BO2433">
        <v>114.76</v>
      </c>
      <c r="BQ2433" t="s">
        <v>798</v>
      </c>
      <c r="BR2433" t="s">
        <v>97</v>
      </c>
      <c r="BS2433" s="3">
        <v>45953</v>
      </c>
      <c r="BT2433" s="4">
        <v>0.39930555555555558</v>
      </c>
      <c r="BU2433" t="s">
        <v>799</v>
      </c>
      <c r="BV2433" t="s">
        <v>86</v>
      </c>
      <c r="BY2433">
        <v>8816</v>
      </c>
      <c r="CA2433" t="s">
        <v>1619</v>
      </c>
      <c r="CC2433" t="s">
        <v>407</v>
      </c>
      <c r="CD2433">
        <v>1438</v>
      </c>
      <c r="CE2433" t="s">
        <v>191</v>
      </c>
      <c r="CF2433" s="3">
        <v>45954</v>
      </c>
      <c r="CI2433">
        <v>1</v>
      </c>
      <c r="CJ2433">
        <v>1</v>
      </c>
      <c r="CK2433">
        <v>24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"080068670111"</f>
        <v>080068670111</v>
      </c>
      <c r="F2434" s="3">
        <v>45952</v>
      </c>
      <c r="G2434">
        <v>202607</v>
      </c>
      <c r="H2434" t="s">
        <v>79</v>
      </c>
      <c r="I2434" t="s">
        <v>80</v>
      </c>
      <c r="J2434" t="s">
        <v>91</v>
      </c>
      <c r="K2434" t="s">
        <v>78</v>
      </c>
      <c r="L2434" t="s">
        <v>1508</v>
      </c>
      <c r="M2434" t="s">
        <v>1509</v>
      </c>
      <c r="N2434" t="s">
        <v>1510</v>
      </c>
      <c r="O2434" t="s">
        <v>82</v>
      </c>
      <c r="P2434" t="str">
        <f>"4170065522                    "</f>
        <v xml:space="preserve">4170065522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43.31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137.47</v>
      </c>
      <c r="BM2434">
        <v>20.62</v>
      </c>
      <c r="BN2434">
        <v>158.09</v>
      </c>
      <c r="BO2434">
        <v>158.09</v>
      </c>
      <c r="BQ2434" t="s">
        <v>1511</v>
      </c>
      <c r="BR2434" t="s">
        <v>97</v>
      </c>
      <c r="BS2434" s="3">
        <v>45953</v>
      </c>
      <c r="BT2434" s="4">
        <v>0.54166666666666663</v>
      </c>
      <c r="BU2434" t="s">
        <v>3019</v>
      </c>
      <c r="BV2434" t="s">
        <v>86</v>
      </c>
      <c r="BY2434">
        <v>1200</v>
      </c>
      <c r="CA2434" t="s">
        <v>2384</v>
      </c>
      <c r="CC2434" t="s">
        <v>1509</v>
      </c>
      <c r="CD2434">
        <v>3370</v>
      </c>
      <c r="CE2434" t="s">
        <v>147</v>
      </c>
      <c r="CF2434" s="3">
        <v>45954</v>
      </c>
      <c r="CI2434">
        <v>2</v>
      </c>
      <c r="CJ2434">
        <v>1</v>
      </c>
      <c r="CK2434">
        <v>23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"080068670145"</f>
        <v>080068670145</v>
      </c>
      <c r="F2435" s="3">
        <v>45952</v>
      </c>
      <c r="G2435">
        <v>202607</v>
      </c>
      <c r="H2435" t="s">
        <v>79</v>
      </c>
      <c r="I2435" t="s">
        <v>80</v>
      </c>
      <c r="J2435" t="s">
        <v>91</v>
      </c>
      <c r="K2435" t="s">
        <v>78</v>
      </c>
      <c r="L2435" t="s">
        <v>92</v>
      </c>
      <c r="M2435" t="s">
        <v>93</v>
      </c>
      <c r="N2435" t="s">
        <v>192</v>
      </c>
      <c r="O2435" t="s">
        <v>82</v>
      </c>
      <c r="P2435" t="str">
        <f>"4170065335                    "</f>
        <v xml:space="preserve">4170065335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22.36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70.959999999999994</v>
      </c>
      <c r="BM2435">
        <v>10.64</v>
      </c>
      <c r="BN2435">
        <v>81.599999999999994</v>
      </c>
      <c r="BO2435">
        <v>81.599999999999994</v>
      </c>
      <c r="BQ2435" t="s">
        <v>193</v>
      </c>
      <c r="BR2435" t="s">
        <v>97</v>
      </c>
      <c r="BS2435" s="3">
        <v>45953</v>
      </c>
      <c r="BT2435" s="4">
        <v>0.5</v>
      </c>
      <c r="BU2435" t="s">
        <v>3020</v>
      </c>
      <c r="BV2435" t="s">
        <v>86</v>
      </c>
      <c r="BY2435">
        <v>1200</v>
      </c>
      <c r="CA2435" t="s">
        <v>100</v>
      </c>
      <c r="CC2435" t="s">
        <v>93</v>
      </c>
      <c r="CD2435">
        <v>3201</v>
      </c>
      <c r="CE2435" t="s">
        <v>147</v>
      </c>
      <c r="CF2435" s="3">
        <v>45954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"080068670148"</f>
        <v>080068670148</v>
      </c>
      <c r="F2436" s="3">
        <v>45952</v>
      </c>
      <c r="G2436">
        <v>202607</v>
      </c>
      <c r="H2436" t="s">
        <v>79</v>
      </c>
      <c r="I2436" t="s">
        <v>80</v>
      </c>
      <c r="J2436" t="s">
        <v>91</v>
      </c>
      <c r="K2436" t="s">
        <v>78</v>
      </c>
      <c r="L2436" t="s">
        <v>710</v>
      </c>
      <c r="M2436" t="s">
        <v>711</v>
      </c>
      <c r="N2436" t="s">
        <v>3021</v>
      </c>
      <c r="O2436" t="s">
        <v>82</v>
      </c>
      <c r="P2436" t="str">
        <f>"4170065448                    "</f>
        <v xml:space="preserve">4170065448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22.36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1.9</v>
      </c>
      <c r="BK2436">
        <v>2</v>
      </c>
      <c r="BL2436">
        <v>70.959999999999994</v>
      </c>
      <c r="BM2436">
        <v>10.64</v>
      </c>
      <c r="BN2436">
        <v>81.599999999999994</v>
      </c>
      <c r="BO2436">
        <v>81.599999999999994</v>
      </c>
      <c r="BQ2436" t="s">
        <v>3022</v>
      </c>
      <c r="BR2436" t="s">
        <v>97</v>
      </c>
      <c r="BS2436" s="3">
        <v>45953</v>
      </c>
      <c r="BT2436" s="4">
        <v>0.42986111111111114</v>
      </c>
      <c r="BU2436" t="s">
        <v>3023</v>
      </c>
      <c r="BV2436" t="s">
        <v>86</v>
      </c>
      <c r="BY2436">
        <v>9600</v>
      </c>
      <c r="CA2436" t="s">
        <v>859</v>
      </c>
      <c r="CC2436" t="s">
        <v>711</v>
      </c>
      <c r="CD2436">
        <v>4126</v>
      </c>
      <c r="CE2436" t="s">
        <v>191</v>
      </c>
      <c r="CF2436" s="3">
        <v>45954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"080068670194"</f>
        <v>080068670194</v>
      </c>
      <c r="F2437" s="3">
        <v>45952</v>
      </c>
      <c r="G2437">
        <v>202607</v>
      </c>
      <c r="H2437" t="s">
        <v>79</v>
      </c>
      <c r="I2437" t="s">
        <v>80</v>
      </c>
      <c r="J2437" t="s">
        <v>91</v>
      </c>
      <c r="K2437" t="s">
        <v>78</v>
      </c>
      <c r="L2437" t="s">
        <v>92</v>
      </c>
      <c r="M2437" t="s">
        <v>93</v>
      </c>
      <c r="N2437" t="s">
        <v>597</v>
      </c>
      <c r="O2437" t="s">
        <v>82</v>
      </c>
      <c r="P2437" t="str">
        <f>"4170065343                    "</f>
        <v xml:space="preserve">4170065343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22.36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70.959999999999994</v>
      </c>
      <c r="BM2437">
        <v>10.64</v>
      </c>
      <c r="BN2437">
        <v>81.599999999999994</v>
      </c>
      <c r="BO2437">
        <v>81.599999999999994</v>
      </c>
      <c r="BQ2437" t="s">
        <v>598</v>
      </c>
      <c r="BR2437" t="s">
        <v>97</v>
      </c>
      <c r="BS2437" s="3">
        <v>45953</v>
      </c>
      <c r="BT2437" s="4">
        <v>0.41736111111111113</v>
      </c>
      <c r="BU2437" t="s">
        <v>599</v>
      </c>
      <c r="BV2437" t="s">
        <v>86</v>
      </c>
      <c r="BY2437">
        <v>1200</v>
      </c>
      <c r="CA2437" t="s">
        <v>600</v>
      </c>
      <c r="CC2437" t="s">
        <v>93</v>
      </c>
      <c r="CD2437">
        <v>3201</v>
      </c>
      <c r="CE2437" t="s">
        <v>147</v>
      </c>
      <c r="CF2437" s="3">
        <v>45954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"080068670218"</f>
        <v>080068670218</v>
      </c>
      <c r="F2438" s="3">
        <v>45952</v>
      </c>
      <c r="G2438">
        <v>202607</v>
      </c>
      <c r="H2438" t="s">
        <v>79</v>
      </c>
      <c r="I2438" t="s">
        <v>80</v>
      </c>
      <c r="J2438" t="s">
        <v>91</v>
      </c>
      <c r="K2438" t="s">
        <v>78</v>
      </c>
      <c r="L2438" t="s">
        <v>223</v>
      </c>
      <c r="M2438" t="s">
        <v>224</v>
      </c>
      <c r="N2438" t="s">
        <v>1464</v>
      </c>
      <c r="O2438" t="s">
        <v>226</v>
      </c>
      <c r="P2438" t="str">
        <f>"4170065462                    "</f>
        <v xml:space="preserve">4170065462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17.47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3</v>
      </c>
      <c r="BJ2438">
        <v>1.9</v>
      </c>
      <c r="BK2438">
        <v>3</v>
      </c>
      <c r="BL2438">
        <v>55.44</v>
      </c>
      <c r="BM2438">
        <v>8.32</v>
      </c>
      <c r="BN2438">
        <v>63.76</v>
      </c>
      <c r="BO2438">
        <v>63.76</v>
      </c>
      <c r="BQ2438" t="s">
        <v>1465</v>
      </c>
      <c r="BR2438" t="s">
        <v>97</v>
      </c>
      <c r="BS2438" s="3">
        <v>45953</v>
      </c>
      <c r="BT2438" s="4">
        <v>0.36388888888888887</v>
      </c>
      <c r="BU2438" t="s">
        <v>2518</v>
      </c>
      <c r="BV2438" t="s">
        <v>86</v>
      </c>
      <c r="BY2438">
        <v>9367</v>
      </c>
      <c r="CA2438" t="s">
        <v>1110</v>
      </c>
      <c r="CC2438" t="s">
        <v>224</v>
      </c>
      <c r="CD2438">
        <v>1459</v>
      </c>
      <c r="CE2438" t="s">
        <v>191</v>
      </c>
      <c r="CF2438" s="3">
        <v>45953</v>
      </c>
      <c r="CI2438">
        <v>1</v>
      </c>
      <c r="CJ2438">
        <v>1</v>
      </c>
      <c r="CK2438">
        <v>32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"080068670263"</f>
        <v>080068670263</v>
      </c>
      <c r="F2439" s="3">
        <v>45952</v>
      </c>
      <c r="G2439">
        <v>202607</v>
      </c>
      <c r="H2439" t="s">
        <v>79</v>
      </c>
      <c r="I2439" t="s">
        <v>80</v>
      </c>
      <c r="J2439" t="s">
        <v>91</v>
      </c>
      <c r="K2439" t="s">
        <v>78</v>
      </c>
      <c r="L2439" t="s">
        <v>108</v>
      </c>
      <c r="M2439" t="s">
        <v>109</v>
      </c>
      <c r="N2439" t="s">
        <v>229</v>
      </c>
      <c r="O2439" t="s">
        <v>82</v>
      </c>
      <c r="P2439" t="str">
        <f>"4170065367                    "</f>
        <v xml:space="preserve">4170065367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22.36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1.9</v>
      </c>
      <c r="BK2439">
        <v>2</v>
      </c>
      <c r="BL2439">
        <v>70.959999999999994</v>
      </c>
      <c r="BM2439">
        <v>10.64</v>
      </c>
      <c r="BN2439">
        <v>81.599999999999994</v>
      </c>
      <c r="BO2439">
        <v>81.599999999999994</v>
      </c>
      <c r="BQ2439" t="s">
        <v>230</v>
      </c>
      <c r="BR2439" t="s">
        <v>97</v>
      </c>
      <c r="BS2439" s="3">
        <v>45953</v>
      </c>
      <c r="BT2439" s="4">
        <v>0.40347222222222223</v>
      </c>
      <c r="BU2439" t="s">
        <v>1959</v>
      </c>
      <c r="BV2439" t="s">
        <v>86</v>
      </c>
      <c r="BY2439">
        <v>9600</v>
      </c>
      <c r="CA2439" t="s">
        <v>1145</v>
      </c>
      <c r="CC2439" t="s">
        <v>109</v>
      </c>
      <c r="CD2439">
        <v>6001</v>
      </c>
      <c r="CE2439" t="s">
        <v>191</v>
      </c>
      <c r="CF2439" s="3">
        <v>45953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"080068670264"</f>
        <v>080068670264</v>
      </c>
      <c r="F2440" s="3">
        <v>45952</v>
      </c>
      <c r="G2440">
        <v>202607</v>
      </c>
      <c r="H2440" t="s">
        <v>79</v>
      </c>
      <c r="I2440" t="s">
        <v>80</v>
      </c>
      <c r="J2440" t="s">
        <v>91</v>
      </c>
      <c r="K2440" t="s">
        <v>78</v>
      </c>
      <c r="L2440" t="s">
        <v>168</v>
      </c>
      <c r="M2440" t="s">
        <v>169</v>
      </c>
      <c r="N2440" t="s">
        <v>3024</v>
      </c>
      <c r="O2440" t="s">
        <v>82</v>
      </c>
      <c r="P2440" t="str">
        <f>"4170065376                    "</f>
        <v xml:space="preserve">4170065376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22.36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70.959999999999994</v>
      </c>
      <c r="BM2440">
        <v>10.64</v>
      </c>
      <c r="BN2440">
        <v>81.599999999999994</v>
      </c>
      <c r="BO2440">
        <v>81.599999999999994</v>
      </c>
      <c r="BQ2440" t="s">
        <v>3025</v>
      </c>
      <c r="BR2440" t="s">
        <v>97</v>
      </c>
      <c r="BS2440" s="3">
        <v>45958</v>
      </c>
      <c r="BT2440" s="4">
        <v>0.4201388888888889</v>
      </c>
      <c r="BU2440" t="s">
        <v>2558</v>
      </c>
      <c r="BV2440" t="s">
        <v>90</v>
      </c>
      <c r="BW2440" t="s">
        <v>3026</v>
      </c>
      <c r="BX2440" t="s">
        <v>732</v>
      </c>
      <c r="BY2440">
        <v>1200</v>
      </c>
      <c r="CC2440" t="s">
        <v>169</v>
      </c>
      <c r="CD2440" s="5" t="s">
        <v>979</v>
      </c>
      <c r="CE2440" t="s">
        <v>147</v>
      </c>
      <c r="CF2440" s="3">
        <v>45959</v>
      </c>
      <c r="CI2440">
        <v>1</v>
      </c>
      <c r="CJ2440">
        <v>4</v>
      </c>
      <c r="CK2440">
        <v>21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"080068670312"</f>
        <v>080068670312</v>
      </c>
      <c r="F2441" s="3">
        <v>45952</v>
      </c>
      <c r="G2441">
        <v>202607</v>
      </c>
      <c r="H2441" t="s">
        <v>79</v>
      </c>
      <c r="I2441" t="s">
        <v>80</v>
      </c>
      <c r="J2441" t="s">
        <v>91</v>
      </c>
      <c r="K2441" t="s">
        <v>78</v>
      </c>
      <c r="L2441" t="s">
        <v>168</v>
      </c>
      <c r="M2441" t="s">
        <v>169</v>
      </c>
      <c r="N2441" t="s">
        <v>185</v>
      </c>
      <c r="O2441" t="s">
        <v>82</v>
      </c>
      <c r="P2441" t="str">
        <f>"4170065485                    "</f>
        <v xml:space="preserve">4170065485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22.36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70.959999999999994</v>
      </c>
      <c r="BM2441">
        <v>10.64</v>
      </c>
      <c r="BN2441">
        <v>81.599999999999994</v>
      </c>
      <c r="BO2441">
        <v>81.599999999999994</v>
      </c>
      <c r="BQ2441" t="s">
        <v>186</v>
      </c>
      <c r="BR2441" t="s">
        <v>97</v>
      </c>
      <c r="BS2441" s="3">
        <v>45953</v>
      </c>
      <c r="BT2441" s="4">
        <v>0.42222222222222222</v>
      </c>
      <c r="BU2441" t="s">
        <v>187</v>
      </c>
      <c r="BV2441" t="s">
        <v>86</v>
      </c>
      <c r="BY2441">
        <v>1200</v>
      </c>
      <c r="CA2441">
        <v>8303236124087</v>
      </c>
      <c r="CC2441" t="s">
        <v>169</v>
      </c>
      <c r="CD2441" s="5" t="s">
        <v>190</v>
      </c>
      <c r="CE2441" t="s">
        <v>147</v>
      </c>
      <c r="CF2441" s="3">
        <v>45953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"080068670549"</f>
        <v>080068670549</v>
      </c>
      <c r="F2442" s="3">
        <v>45952</v>
      </c>
      <c r="G2442">
        <v>202607</v>
      </c>
      <c r="H2442" t="s">
        <v>79</v>
      </c>
      <c r="I2442" t="s">
        <v>80</v>
      </c>
      <c r="J2442" t="s">
        <v>91</v>
      </c>
      <c r="K2442" t="s">
        <v>78</v>
      </c>
      <c r="L2442" t="s">
        <v>668</v>
      </c>
      <c r="M2442" t="s">
        <v>669</v>
      </c>
      <c r="N2442" t="s">
        <v>2305</v>
      </c>
      <c r="O2442" t="s">
        <v>82</v>
      </c>
      <c r="P2442" t="str">
        <f>"4170065502                    "</f>
        <v xml:space="preserve">4170065502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17.46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3</v>
      </c>
      <c r="BJ2442">
        <v>1.9</v>
      </c>
      <c r="BK2442">
        <v>3</v>
      </c>
      <c r="BL2442">
        <v>55.42</v>
      </c>
      <c r="BM2442">
        <v>8.31</v>
      </c>
      <c r="BN2442">
        <v>63.73</v>
      </c>
      <c r="BO2442">
        <v>63.73</v>
      </c>
      <c r="BQ2442" t="s">
        <v>2306</v>
      </c>
      <c r="BR2442" t="s">
        <v>97</v>
      </c>
      <c r="BS2442" s="3">
        <v>45953</v>
      </c>
      <c r="BT2442" s="4">
        <v>0.41736111111111113</v>
      </c>
      <c r="BU2442" t="s">
        <v>2307</v>
      </c>
      <c r="BV2442" t="s">
        <v>86</v>
      </c>
      <c r="BY2442">
        <v>9600</v>
      </c>
      <c r="CA2442" t="s">
        <v>1595</v>
      </c>
      <c r="CC2442" t="s">
        <v>669</v>
      </c>
      <c r="CD2442">
        <v>1500</v>
      </c>
      <c r="CE2442" t="s">
        <v>191</v>
      </c>
      <c r="CF2442" s="3">
        <v>45954</v>
      </c>
      <c r="CI2442">
        <v>1</v>
      </c>
      <c r="CJ2442">
        <v>1</v>
      </c>
      <c r="CK2442">
        <v>22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"080068670582"</f>
        <v>080068670582</v>
      </c>
      <c r="F2443" s="3">
        <v>45952</v>
      </c>
      <c r="G2443">
        <v>202607</v>
      </c>
      <c r="H2443" t="s">
        <v>79</v>
      </c>
      <c r="I2443" t="s">
        <v>80</v>
      </c>
      <c r="J2443" t="s">
        <v>91</v>
      </c>
      <c r="K2443" t="s">
        <v>78</v>
      </c>
      <c r="L2443" t="s">
        <v>206</v>
      </c>
      <c r="M2443" t="s">
        <v>207</v>
      </c>
      <c r="N2443" t="s">
        <v>1027</v>
      </c>
      <c r="O2443" t="s">
        <v>82</v>
      </c>
      <c r="P2443" t="str">
        <f>"4170065398                    "</f>
        <v xml:space="preserve">4170065398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22.36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70.959999999999994</v>
      </c>
      <c r="BM2443">
        <v>10.64</v>
      </c>
      <c r="BN2443">
        <v>81.599999999999994</v>
      </c>
      <c r="BO2443">
        <v>81.599999999999994</v>
      </c>
      <c r="BQ2443" t="s">
        <v>1028</v>
      </c>
      <c r="BR2443" t="s">
        <v>97</v>
      </c>
      <c r="BS2443" s="3">
        <v>45953</v>
      </c>
      <c r="BT2443" s="4">
        <v>0.41111111111111109</v>
      </c>
      <c r="BU2443" t="s">
        <v>1029</v>
      </c>
      <c r="BV2443" t="s">
        <v>86</v>
      </c>
      <c r="BY2443">
        <v>1200</v>
      </c>
      <c r="CA2443" t="s">
        <v>375</v>
      </c>
      <c r="CC2443" t="s">
        <v>207</v>
      </c>
      <c r="CD2443">
        <v>7800</v>
      </c>
      <c r="CE2443" t="s">
        <v>147</v>
      </c>
      <c r="CF2443" s="3">
        <v>45954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"080068670600"</f>
        <v>080068670600</v>
      </c>
      <c r="F2444" s="3">
        <v>45952</v>
      </c>
      <c r="G2444">
        <v>202607</v>
      </c>
      <c r="H2444" t="s">
        <v>79</v>
      </c>
      <c r="I2444" t="s">
        <v>80</v>
      </c>
      <c r="J2444" t="s">
        <v>91</v>
      </c>
      <c r="K2444" t="s">
        <v>78</v>
      </c>
      <c r="L2444" t="s">
        <v>446</v>
      </c>
      <c r="M2444" t="s">
        <v>447</v>
      </c>
      <c r="N2444" t="s">
        <v>448</v>
      </c>
      <c r="O2444" t="s">
        <v>82</v>
      </c>
      <c r="P2444" t="str">
        <f>"4170065458                    "</f>
        <v xml:space="preserve">4170065458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43.31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0.6</v>
      </c>
      <c r="BK2444">
        <v>1</v>
      </c>
      <c r="BL2444">
        <v>137.47</v>
      </c>
      <c r="BM2444">
        <v>20.62</v>
      </c>
      <c r="BN2444">
        <v>158.09</v>
      </c>
      <c r="BO2444">
        <v>158.09</v>
      </c>
      <c r="BQ2444" t="s">
        <v>449</v>
      </c>
      <c r="BR2444" t="s">
        <v>97</v>
      </c>
      <c r="BS2444" s="3">
        <v>45953</v>
      </c>
      <c r="BT2444" s="4">
        <v>0.47986111111111113</v>
      </c>
      <c r="BU2444" t="s">
        <v>3027</v>
      </c>
      <c r="BV2444" t="s">
        <v>86</v>
      </c>
      <c r="BY2444">
        <v>3192</v>
      </c>
      <c r="CA2444" t="s">
        <v>1124</v>
      </c>
      <c r="CC2444" t="s">
        <v>447</v>
      </c>
      <c r="CD2444">
        <v>7130</v>
      </c>
      <c r="CE2444" t="s">
        <v>191</v>
      </c>
      <c r="CF2444" s="3">
        <v>45954</v>
      </c>
      <c r="CI2444">
        <v>1</v>
      </c>
      <c r="CJ2444">
        <v>1</v>
      </c>
      <c r="CK2444">
        <v>23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"080068670607"</f>
        <v>080068670607</v>
      </c>
      <c r="F2445" s="3">
        <v>45952</v>
      </c>
      <c r="G2445">
        <v>202607</v>
      </c>
      <c r="H2445" t="s">
        <v>79</v>
      </c>
      <c r="I2445" t="s">
        <v>80</v>
      </c>
      <c r="J2445" t="s">
        <v>91</v>
      </c>
      <c r="K2445" t="s">
        <v>78</v>
      </c>
      <c r="L2445" t="s">
        <v>322</v>
      </c>
      <c r="M2445" t="s">
        <v>322</v>
      </c>
      <c r="N2445" t="s">
        <v>483</v>
      </c>
      <c r="O2445" t="s">
        <v>82</v>
      </c>
      <c r="P2445" t="str">
        <f>"4170065442                    "</f>
        <v xml:space="preserve">4170065442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43.31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137.47</v>
      </c>
      <c r="BM2445">
        <v>20.62</v>
      </c>
      <c r="BN2445">
        <v>158.09</v>
      </c>
      <c r="BO2445">
        <v>158.09</v>
      </c>
      <c r="BQ2445" t="s">
        <v>486</v>
      </c>
      <c r="BR2445" t="s">
        <v>97</v>
      </c>
      <c r="BS2445" s="3">
        <v>45953</v>
      </c>
      <c r="BT2445" s="4">
        <v>0.53611111111111109</v>
      </c>
      <c r="BU2445" t="s">
        <v>485</v>
      </c>
      <c r="BV2445" t="s">
        <v>86</v>
      </c>
      <c r="BY2445">
        <v>1200</v>
      </c>
      <c r="CA2445" t="s">
        <v>326</v>
      </c>
      <c r="CC2445" t="s">
        <v>322</v>
      </c>
      <c r="CD2445">
        <v>7646</v>
      </c>
      <c r="CE2445" t="s">
        <v>147</v>
      </c>
      <c r="CF2445" s="3">
        <v>45954</v>
      </c>
      <c r="CI2445">
        <v>1</v>
      </c>
      <c r="CJ2445">
        <v>1</v>
      </c>
      <c r="CK2445">
        <v>23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"080068670621"</f>
        <v>080068670621</v>
      </c>
      <c r="F2446" s="3">
        <v>45952</v>
      </c>
      <c r="G2446">
        <v>202607</v>
      </c>
      <c r="H2446" t="s">
        <v>79</v>
      </c>
      <c r="I2446" t="s">
        <v>80</v>
      </c>
      <c r="J2446" t="s">
        <v>91</v>
      </c>
      <c r="K2446" t="s">
        <v>78</v>
      </c>
      <c r="L2446" t="s">
        <v>108</v>
      </c>
      <c r="M2446" t="s">
        <v>109</v>
      </c>
      <c r="N2446" t="s">
        <v>3028</v>
      </c>
      <c r="O2446" t="s">
        <v>82</v>
      </c>
      <c r="P2446" t="str">
        <f>"4170065467                    "</f>
        <v xml:space="preserve">4170065467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22.36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70.959999999999994</v>
      </c>
      <c r="BM2446">
        <v>10.64</v>
      </c>
      <c r="BN2446">
        <v>81.599999999999994</v>
      </c>
      <c r="BO2446">
        <v>81.599999999999994</v>
      </c>
      <c r="BQ2446" t="s">
        <v>3029</v>
      </c>
      <c r="BR2446" t="s">
        <v>97</v>
      </c>
      <c r="BS2446" s="3">
        <v>45953</v>
      </c>
      <c r="BT2446" s="4">
        <v>0.4375</v>
      </c>
      <c r="BU2446" t="s">
        <v>3030</v>
      </c>
      <c r="BV2446" t="s">
        <v>86</v>
      </c>
      <c r="BY2446">
        <v>1200</v>
      </c>
      <c r="CA2446" t="s">
        <v>113</v>
      </c>
      <c r="CC2446" t="s">
        <v>109</v>
      </c>
      <c r="CD2446">
        <v>6020</v>
      </c>
      <c r="CE2446" t="s">
        <v>147</v>
      </c>
      <c r="CF2446" s="3">
        <v>45953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"080068670707"</f>
        <v>080068670707</v>
      </c>
      <c r="F2447" s="3">
        <v>45952</v>
      </c>
      <c r="G2447">
        <v>202607</v>
      </c>
      <c r="H2447" t="s">
        <v>79</v>
      </c>
      <c r="I2447" t="s">
        <v>80</v>
      </c>
      <c r="J2447" t="s">
        <v>91</v>
      </c>
      <c r="K2447" t="s">
        <v>78</v>
      </c>
      <c r="L2447" t="s">
        <v>148</v>
      </c>
      <c r="M2447" t="s">
        <v>149</v>
      </c>
      <c r="N2447" t="s">
        <v>849</v>
      </c>
      <c r="O2447" t="s">
        <v>82</v>
      </c>
      <c r="P2447" t="str">
        <f>"4170065452                    "</f>
        <v xml:space="preserve">4170065452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17.46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55.42</v>
      </c>
      <c r="BM2447">
        <v>8.31</v>
      </c>
      <c r="BN2447">
        <v>63.73</v>
      </c>
      <c r="BO2447">
        <v>63.73</v>
      </c>
      <c r="BQ2447" t="s">
        <v>850</v>
      </c>
      <c r="BR2447" t="s">
        <v>97</v>
      </c>
      <c r="BS2447" s="3">
        <v>45953</v>
      </c>
      <c r="BT2447" s="4">
        <v>0.37847222222222221</v>
      </c>
      <c r="BU2447" t="s">
        <v>1756</v>
      </c>
      <c r="BV2447" t="s">
        <v>86</v>
      </c>
      <c r="BY2447">
        <v>1200</v>
      </c>
      <c r="CA2447" t="s">
        <v>2853</v>
      </c>
      <c r="CC2447" t="s">
        <v>149</v>
      </c>
      <c r="CD2447">
        <v>2094</v>
      </c>
      <c r="CE2447" t="s">
        <v>147</v>
      </c>
      <c r="CF2447" s="3">
        <v>45954</v>
      </c>
      <c r="CI2447">
        <v>1</v>
      </c>
      <c r="CJ2447">
        <v>1</v>
      </c>
      <c r="CK2447">
        <v>22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"080068670743"</f>
        <v>080068670743</v>
      </c>
      <c r="F2448" s="3">
        <v>45952</v>
      </c>
      <c r="G2448">
        <v>202607</v>
      </c>
      <c r="H2448" t="s">
        <v>79</v>
      </c>
      <c r="I2448" t="s">
        <v>80</v>
      </c>
      <c r="J2448" t="s">
        <v>91</v>
      </c>
      <c r="K2448" t="s">
        <v>78</v>
      </c>
      <c r="L2448" t="s">
        <v>271</v>
      </c>
      <c r="M2448" t="s">
        <v>272</v>
      </c>
      <c r="N2448" t="s">
        <v>368</v>
      </c>
      <c r="O2448" t="s">
        <v>82</v>
      </c>
      <c r="P2448" t="str">
        <f>"4170065421                    "</f>
        <v xml:space="preserve">4170065421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17.46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55.42</v>
      </c>
      <c r="BM2448">
        <v>8.31</v>
      </c>
      <c r="BN2448">
        <v>63.73</v>
      </c>
      <c r="BO2448">
        <v>63.73</v>
      </c>
      <c r="BQ2448" t="s">
        <v>369</v>
      </c>
      <c r="BR2448" t="s">
        <v>97</v>
      </c>
      <c r="BS2448" s="3">
        <v>45953</v>
      </c>
      <c r="BT2448" s="4">
        <v>0.34375</v>
      </c>
      <c r="BU2448" t="s">
        <v>2835</v>
      </c>
      <c r="BV2448" t="s">
        <v>86</v>
      </c>
      <c r="BY2448">
        <v>1200</v>
      </c>
      <c r="CA2448" t="s">
        <v>371</v>
      </c>
      <c r="CC2448" t="s">
        <v>272</v>
      </c>
      <c r="CD2448">
        <v>1401</v>
      </c>
      <c r="CE2448" t="s">
        <v>147</v>
      </c>
      <c r="CF2448" s="3">
        <v>45954</v>
      </c>
      <c r="CI2448">
        <v>1</v>
      </c>
      <c r="CJ2448">
        <v>1</v>
      </c>
      <c r="CK2448">
        <v>22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"080068670774"</f>
        <v>080068670774</v>
      </c>
      <c r="F2449" s="3">
        <v>45952</v>
      </c>
      <c r="G2449">
        <v>202607</v>
      </c>
      <c r="H2449" t="s">
        <v>79</v>
      </c>
      <c r="I2449" t="s">
        <v>80</v>
      </c>
      <c r="J2449" t="s">
        <v>91</v>
      </c>
      <c r="K2449" t="s">
        <v>78</v>
      </c>
      <c r="L2449" t="s">
        <v>350</v>
      </c>
      <c r="M2449" t="s">
        <v>351</v>
      </c>
      <c r="N2449" t="s">
        <v>352</v>
      </c>
      <c r="O2449" t="s">
        <v>82</v>
      </c>
      <c r="P2449" t="str">
        <f>"4170065527                    "</f>
        <v xml:space="preserve">4170065527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43.31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137.47</v>
      </c>
      <c r="BM2449">
        <v>20.62</v>
      </c>
      <c r="BN2449">
        <v>158.09</v>
      </c>
      <c r="BO2449">
        <v>158.09</v>
      </c>
      <c r="BQ2449" t="s">
        <v>353</v>
      </c>
      <c r="BR2449" t="s">
        <v>97</v>
      </c>
      <c r="BS2449" s="3">
        <v>45953</v>
      </c>
      <c r="BT2449" s="4">
        <v>0.4375</v>
      </c>
      <c r="BU2449" t="s">
        <v>354</v>
      </c>
      <c r="BV2449" t="s">
        <v>86</v>
      </c>
      <c r="BY2449">
        <v>1200</v>
      </c>
      <c r="CA2449" t="s">
        <v>355</v>
      </c>
      <c r="CC2449" t="s">
        <v>351</v>
      </c>
      <c r="CD2449" s="5" t="s">
        <v>356</v>
      </c>
      <c r="CE2449" t="s">
        <v>147</v>
      </c>
      <c r="CF2449" s="3">
        <v>45954</v>
      </c>
      <c r="CI2449">
        <v>1</v>
      </c>
      <c r="CJ2449">
        <v>1</v>
      </c>
      <c r="CK2449">
        <v>23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"080068670798"</f>
        <v>080068670798</v>
      </c>
      <c r="F2450" s="3">
        <v>45952</v>
      </c>
      <c r="G2450">
        <v>202607</v>
      </c>
      <c r="H2450" t="s">
        <v>79</v>
      </c>
      <c r="I2450" t="s">
        <v>80</v>
      </c>
      <c r="J2450" t="s">
        <v>91</v>
      </c>
      <c r="K2450" t="s">
        <v>78</v>
      </c>
      <c r="L2450" t="s">
        <v>79</v>
      </c>
      <c r="M2450" t="s">
        <v>80</v>
      </c>
      <c r="N2450" t="s">
        <v>965</v>
      </c>
      <c r="O2450" t="s">
        <v>82</v>
      </c>
      <c r="P2450" t="str">
        <f>"4170065357                    "</f>
        <v xml:space="preserve">4170065357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17.46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55.42</v>
      </c>
      <c r="BM2450">
        <v>8.31</v>
      </c>
      <c r="BN2450">
        <v>63.73</v>
      </c>
      <c r="BO2450">
        <v>63.73</v>
      </c>
      <c r="BQ2450" t="s">
        <v>966</v>
      </c>
      <c r="BR2450" t="s">
        <v>97</v>
      </c>
      <c r="BS2450" s="3">
        <v>45953</v>
      </c>
      <c r="BT2450" s="4">
        <v>0.40277777777777779</v>
      </c>
      <c r="BU2450" t="s">
        <v>967</v>
      </c>
      <c r="BV2450" t="s">
        <v>86</v>
      </c>
      <c r="BY2450">
        <v>1200</v>
      </c>
      <c r="CA2450" t="s">
        <v>166</v>
      </c>
      <c r="CC2450" t="s">
        <v>80</v>
      </c>
      <c r="CD2450">
        <v>1618</v>
      </c>
      <c r="CE2450" t="s">
        <v>147</v>
      </c>
      <c r="CF2450" s="3">
        <v>45953</v>
      </c>
      <c r="CI2450">
        <v>1</v>
      </c>
      <c r="CJ2450">
        <v>1</v>
      </c>
      <c r="CK2450">
        <v>22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"080068670925"</f>
        <v>080068670925</v>
      </c>
      <c r="F2451" s="3">
        <v>45952</v>
      </c>
      <c r="G2451">
        <v>202607</v>
      </c>
      <c r="H2451" t="s">
        <v>79</v>
      </c>
      <c r="I2451" t="s">
        <v>80</v>
      </c>
      <c r="J2451" t="s">
        <v>91</v>
      </c>
      <c r="K2451" t="s">
        <v>78</v>
      </c>
      <c r="L2451" t="s">
        <v>168</v>
      </c>
      <c r="M2451" t="s">
        <v>169</v>
      </c>
      <c r="N2451" t="s">
        <v>737</v>
      </c>
      <c r="O2451" t="s">
        <v>82</v>
      </c>
      <c r="P2451" t="str">
        <f>"4170065408                    "</f>
        <v xml:space="preserve">4170065408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22.36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70.959999999999994</v>
      </c>
      <c r="BM2451">
        <v>10.64</v>
      </c>
      <c r="BN2451">
        <v>81.599999999999994</v>
      </c>
      <c r="BO2451">
        <v>81.599999999999994</v>
      </c>
      <c r="BQ2451" t="s">
        <v>738</v>
      </c>
      <c r="BR2451" t="s">
        <v>97</v>
      </c>
      <c r="BS2451" s="3">
        <v>45953</v>
      </c>
      <c r="BT2451" s="4">
        <v>0.36805555555555558</v>
      </c>
      <c r="BU2451" t="s">
        <v>3031</v>
      </c>
      <c r="BV2451" t="s">
        <v>86</v>
      </c>
      <c r="BY2451">
        <v>1200</v>
      </c>
      <c r="CA2451">
        <v>9103185460089</v>
      </c>
      <c r="CC2451" t="s">
        <v>169</v>
      </c>
      <c r="CD2451" s="5" t="s">
        <v>173</v>
      </c>
      <c r="CE2451" t="s">
        <v>147</v>
      </c>
      <c r="CF2451" s="3">
        <v>45953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"080068670950"</f>
        <v>080068670950</v>
      </c>
      <c r="F2452" s="3">
        <v>45952</v>
      </c>
      <c r="G2452">
        <v>202607</v>
      </c>
      <c r="H2452" t="s">
        <v>79</v>
      </c>
      <c r="I2452" t="s">
        <v>80</v>
      </c>
      <c r="J2452" t="s">
        <v>91</v>
      </c>
      <c r="K2452" t="s">
        <v>78</v>
      </c>
      <c r="L2452" t="s">
        <v>206</v>
      </c>
      <c r="M2452" t="s">
        <v>207</v>
      </c>
      <c r="N2452" t="s">
        <v>698</v>
      </c>
      <c r="O2452" t="s">
        <v>82</v>
      </c>
      <c r="P2452" t="str">
        <f>"4170065497                    "</f>
        <v xml:space="preserve">4170065497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72.62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3</v>
      </c>
      <c r="BJ2452">
        <v>6.5</v>
      </c>
      <c r="BK2452">
        <v>6.5</v>
      </c>
      <c r="BL2452">
        <v>230.48</v>
      </c>
      <c r="BM2452">
        <v>34.57</v>
      </c>
      <c r="BN2452">
        <v>265.05</v>
      </c>
      <c r="BO2452">
        <v>265.05</v>
      </c>
      <c r="BQ2452" t="s">
        <v>699</v>
      </c>
      <c r="BR2452" t="s">
        <v>97</v>
      </c>
      <c r="BS2452" s="3">
        <v>45953</v>
      </c>
      <c r="BT2452" s="4">
        <v>0.41249999999999998</v>
      </c>
      <c r="BU2452" t="s">
        <v>700</v>
      </c>
      <c r="BV2452" t="s">
        <v>86</v>
      </c>
      <c r="BY2452">
        <v>32375</v>
      </c>
      <c r="CA2452" t="s">
        <v>375</v>
      </c>
      <c r="CC2452" t="s">
        <v>207</v>
      </c>
      <c r="CD2452">
        <v>7800</v>
      </c>
      <c r="CE2452" t="s">
        <v>107</v>
      </c>
      <c r="CF2452" s="3">
        <v>45954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"080068670986"</f>
        <v>080068670986</v>
      </c>
      <c r="F2453" s="3">
        <v>45952</v>
      </c>
      <c r="G2453">
        <v>202607</v>
      </c>
      <c r="H2453" t="s">
        <v>79</v>
      </c>
      <c r="I2453" t="s">
        <v>80</v>
      </c>
      <c r="J2453" t="s">
        <v>91</v>
      </c>
      <c r="K2453" t="s">
        <v>78</v>
      </c>
      <c r="L2453" t="s">
        <v>79</v>
      </c>
      <c r="M2453" t="s">
        <v>80</v>
      </c>
      <c r="N2453" t="s">
        <v>539</v>
      </c>
      <c r="O2453" t="s">
        <v>82</v>
      </c>
      <c r="P2453" t="str">
        <f>"4170065355                    "</f>
        <v xml:space="preserve">4170065355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17.46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1.7</v>
      </c>
      <c r="BK2453">
        <v>2</v>
      </c>
      <c r="BL2453">
        <v>55.42</v>
      </c>
      <c r="BM2453">
        <v>8.31</v>
      </c>
      <c r="BN2453">
        <v>63.73</v>
      </c>
      <c r="BO2453">
        <v>63.73</v>
      </c>
      <c r="BQ2453" t="s">
        <v>540</v>
      </c>
      <c r="BR2453" t="s">
        <v>97</v>
      </c>
      <c r="BS2453" s="3">
        <v>45953</v>
      </c>
      <c r="BT2453" s="4">
        <v>0.4284722222222222</v>
      </c>
      <c r="BU2453" t="s">
        <v>3032</v>
      </c>
      <c r="BV2453" t="s">
        <v>86</v>
      </c>
      <c r="BY2453">
        <v>8265</v>
      </c>
      <c r="CA2453" t="s">
        <v>3033</v>
      </c>
      <c r="CC2453" t="s">
        <v>80</v>
      </c>
      <c r="CD2453">
        <v>1614</v>
      </c>
      <c r="CE2453" t="s">
        <v>191</v>
      </c>
      <c r="CF2453" s="3">
        <v>45954</v>
      </c>
      <c r="CI2453">
        <v>1</v>
      </c>
      <c r="CJ2453">
        <v>1</v>
      </c>
      <c r="CK2453">
        <v>22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"080068671232"</f>
        <v>080068671232</v>
      </c>
      <c r="F2454" s="3">
        <v>45952</v>
      </c>
      <c r="G2454">
        <v>202607</v>
      </c>
      <c r="H2454" t="s">
        <v>79</v>
      </c>
      <c r="I2454" t="s">
        <v>80</v>
      </c>
      <c r="J2454" t="s">
        <v>91</v>
      </c>
      <c r="K2454" t="s">
        <v>78</v>
      </c>
      <c r="L2454" t="s">
        <v>322</v>
      </c>
      <c r="M2454" t="s">
        <v>322</v>
      </c>
      <c r="N2454" t="s">
        <v>3034</v>
      </c>
      <c r="O2454" t="s">
        <v>82</v>
      </c>
      <c r="P2454" t="str">
        <f>"4170065468                    "</f>
        <v xml:space="preserve">4170065468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43.31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137.47</v>
      </c>
      <c r="BM2454">
        <v>20.62</v>
      </c>
      <c r="BN2454">
        <v>158.09</v>
      </c>
      <c r="BO2454">
        <v>158.09</v>
      </c>
      <c r="BQ2454" t="s">
        <v>3035</v>
      </c>
      <c r="BR2454" t="s">
        <v>97</v>
      </c>
      <c r="BS2454" s="3">
        <v>45953</v>
      </c>
      <c r="BT2454" s="4">
        <v>0.43611111111111112</v>
      </c>
      <c r="BU2454" t="s">
        <v>3036</v>
      </c>
      <c r="BV2454" t="s">
        <v>86</v>
      </c>
      <c r="BY2454">
        <v>1200</v>
      </c>
      <c r="CA2454" t="s">
        <v>2595</v>
      </c>
      <c r="CC2454" t="s">
        <v>322</v>
      </c>
      <c r="CD2454">
        <v>7645</v>
      </c>
      <c r="CE2454" t="s">
        <v>147</v>
      </c>
      <c r="CF2454" s="3">
        <v>45954</v>
      </c>
      <c r="CI2454">
        <v>1</v>
      </c>
      <c r="CJ2454">
        <v>1</v>
      </c>
      <c r="CK2454">
        <v>23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"080068671250"</f>
        <v>080068671250</v>
      </c>
      <c r="F2455" s="3">
        <v>45952</v>
      </c>
      <c r="G2455">
        <v>202607</v>
      </c>
      <c r="H2455" t="s">
        <v>79</v>
      </c>
      <c r="I2455" t="s">
        <v>80</v>
      </c>
      <c r="J2455" t="s">
        <v>91</v>
      </c>
      <c r="K2455" t="s">
        <v>78</v>
      </c>
      <c r="L2455" t="s">
        <v>206</v>
      </c>
      <c r="M2455" t="s">
        <v>207</v>
      </c>
      <c r="N2455" t="s">
        <v>1690</v>
      </c>
      <c r="O2455" t="s">
        <v>82</v>
      </c>
      <c r="P2455" t="str">
        <f>"4170065484                    "</f>
        <v xml:space="preserve">4170065484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22.36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70.959999999999994</v>
      </c>
      <c r="BM2455">
        <v>10.64</v>
      </c>
      <c r="BN2455">
        <v>81.599999999999994</v>
      </c>
      <c r="BO2455">
        <v>81.599999999999994</v>
      </c>
      <c r="BQ2455" t="s">
        <v>1691</v>
      </c>
      <c r="BR2455" t="s">
        <v>97</v>
      </c>
      <c r="BS2455" s="3">
        <v>45953</v>
      </c>
      <c r="BT2455" s="4">
        <v>0.44444444444444442</v>
      </c>
      <c r="BU2455" t="s">
        <v>3037</v>
      </c>
      <c r="BV2455" t="s">
        <v>90</v>
      </c>
      <c r="BW2455" t="s">
        <v>347</v>
      </c>
      <c r="BX2455" t="s">
        <v>348</v>
      </c>
      <c r="BY2455">
        <v>1200</v>
      </c>
      <c r="CC2455" t="s">
        <v>207</v>
      </c>
      <c r="CD2455">
        <v>8000</v>
      </c>
      <c r="CE2455" t="s">
        <v>147</v>
      </c>
      <c r="CF2455" s="3">
        <v>45954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"080068671245"</f>
        <v>080068671245</v>
      </c>
      <c r="F2456" s="3">
        <v>45952</v>
      </c>
      <c r="G2456">
        <v>202607</v>
      </c>
      <c r="H2456" t="s">
        <v>79</v>
      </c>
      <c r="I2456" t="s">
        <v>80</v>
      </c>
      <c r="J2456" t="s">
        <v>91</v>
      </c>
      <c r="K2456" t="s">
        <v>78</v>
      </c>
      <c r="L2456" t="s">
        <v>300</v>
      </c>
      <c r="M2456" t="s">
        <v>301</v>
      </c>
      <c r="N2456" t="s">
        <v>302</v>
      </c>
      <c r="O2456" t="s">
        <v>95</v>
      </c>
      <c r="P2456" t="str">
        <f>"4170065338                    "</f>
        <v xml:space="preserve">4170065338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58.96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24</v>
      </c>
      <c r="BJ2456">
        <v>17.7</v>
      </c>
      <c r="BK2456">
        <v>24</v>
      </c>
      <c r="BL2456">
        <v>193.01</v>
      </c>
      <c r="BM2456">
        <v>28.95</v>
      </c>
      <c r="BN2456">
        <v>221.96</v>
      </c>
      <c r="BO2456">
        <v>221.96</v>
      </c>
      <c r="BQ2456" t="s">
        <v>303</v>
      </c>
      <c r="BR2456" t="s">
        <v>97</v>
      </c>
      <c r="BS2456" s="3">
        <v>45953</v>
      </c>
      <c r="BT2456" s="4">
        <v>0.42708333333333331</v>
      </c>
      <c r="BU2456" t="s">
        <v>3038</v>
      </c>
      <c r="BV2456" t="s">
        <v>86</v>
      </c>
      <c r="BY2456">
        <v>88320</v>
      </c>
      <c r="CC2456" t="s">
        <v>301</v>
      </c>
      <c r="CD2456">
        <v>1748</v>
      </c>
      <c r="CE2456" t="s">
        <v>191</v>
      </c>
      <c r="CF2456" s="3">
        <v>45954</v>
      </c>
      <c r="CI2456">
        <v>1</v>
      </c>
      <c r="CJ2456">
        <v>1</v>
      </c>
      <c r="CK2456">
        <v>44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"080068671256"</f>
        <v>080068671256</v>
      </c>
      <c r="F2457" s="3">
        <v>45952</v>
      </c>
      <c r="G2457">
        <v>202607</v>
      </c>
      <c r="H2457" t="s">
        <v>79</v>
      </c>
      <c r="I2457" t="s">
        <v>80</v>
      </c>
      <c r="J2457" t="s">
        <v>91</v>
      </c>
      <c r="K2457" t="s">
        <v>78</v>
      </c>
      <c r="L2457" t="s">
        <v>79</v>
      </c>
      <c r="M2457" t="s">
        <v>80</v>
      </c>
      <c r="N2457" t="s">
        <v>577</v>
      </c>
      <c r="O2457" t="s">
        <v>82</v>
      </c>
      <c r="P2457" t="str">
        <f>"4170065424                    "</f>
        <v xml:space="preserve">4170065424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17.46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55.42</v>
      </c>
      <c r="BM2457">
        <v>8.31</v>
      </c>
      <c r="BN2457">
        <v>63.73</v>
      </c>
      <c r="BO2457">
        <v>63.73</v>
      </c>
      <c r="BQ2457" t="s">
        <v>578</v>
      </c>
      <c r="BR2457" t="s">
        <v>97</v>
      </c>
      <c r="BS2457" s="3">
        <v>45953</v>
      </c>
      <c r="BT2457" s="4">
        <v>0.37847222222222221</v>
      </c>
      <c r="BU2457" t="s">
        <v>1536</v>
      </c>
      <c r="BV2457" t="s">
        <v>86</v>
      </c>
      <c r="BY2457">
        <v>1200</v>
      </c>
      <c r="CA2457" t="s">
        <v>580</v>
      </c>
      <c r="CC2457" t="s">
        <v>80</v>
      </c>
      <c r="CD2457">
        <v>1619</v>
      </c>
      <c r="CE2457" t="s">
        <v>147</v>
      </c>
      <c r="CF2457" s="3">
        <v>45954</v>
      </c>
      <c r="CI2457">
        <v>1</v>
      </c>
      <c r="CJ2457">
        <v>1</v>
      </c>
      <c r="CK2457">
        <v>22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"080068671264"</f>
        <v>080068671264</v>
      </c>
      <c r="F2458" s="3">
        <v>45952</v>
      </c>
      <c r="G2458">
        <v>202607</v>
      </c>
      <c r="H2458" t="s">
        <v>79</v>
      </c>
      <c r="I2458" t="s">
        <v>80</v>
      </c>
      <c r="J2458" t="s">
        <v>91</v>
      </c>
      <c r="K2458" t="s">
        <v>78</v>
      </c>
      <c r="L2458" t="s">
        <v>206</v>
      </c>
      <c r="M2458" t="s">
        <v>207</v>
      </c>
      <c r="N2458" t="s">
        <v>458</v>
      </c>
      <c r="O2458" t="s">
        <v>82</v>
      </c>
      <c r="P2458" t="str">
        <f>"4170065352                    "</f>
        <v xml:space="preserve">4170065352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44.69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2</v>
      </c>
      <c r="BJ2458">
        <v>3.8</v>
      </c>
      <c r="BK2458">
        <v>4</v>
      </c>
      <c r="BL2458">
        <v>141.85</v>
      </c>
      <c r="BM2458">
        <v>21.28</v>
      </c>
      <c r="BN2458">
        <v>163.13</v>
      </c>
      <c r="BO2458">
        <v>163.13</v>
      </c>
      <c r="BQ2458" t="s">
        <v>459</v>
      </c>
      <c r="BR2458" t="s">
        <v>97</v>
      </c>
      <c r="BS2458" s="3">
        <v>45953</v>
      </c>
      <c r="BT2458" s="4">
        <v>0.41319444444444442</v>
      </c>
      <c r="BU2458" t="s">
        <v>3039</v>
      </c>
      <c r="BV2458" t="s">
        <v>86</v>
      </c>
      <c r="BY2458">
        <v>19227</v>
      </c>
      <c r="CA2458" t="s">
        <v>461</v>
      </c>
      <c r="CC2458" t="s">
        <v>207</v>
      </c>
      <c r="CD2458">
        <v>7535</v>
      </c>
      <c r="CE2458" t="s">
        <v>191</v>
      </c>
      <c r="CF2458" s="3">
        <v>45954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"080068671275"</f>
        <v>080068671275</v>
      </c>
      <c r="F2459" s="3">
        <v>45952</v>
      </c>
      <c r="G2459">
        <v>202607</v>
      </c>
      <c r="H2459" t="s">
        <v>79</v>
      </c>
      <c r="I2459" t="s">
        <v>80</v>
      </c>
      <c r="J2459" t="s">
        <v>91</v>
      </c>
      <c r="K2459" t="s">
        <v>78</v>
      </c>
      <c r="L2459" t="s">
        <v>148</v>
      </c>
      <c r="M2459" t="s">
        <v>149</v>
      </c>
      <c r="N2459" t="s">
        <v>3040</v>
      </c>
      <c r="O2459" t="s">
        <v>82</v>
      </c>
      <c r="P2459" t="str">
        <f>"4170065503                    "</f>
        <v xml:space="preserve">4170065503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17.46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55.42</v>
      </c>
      <c r="BM2459">
        <v>8.31</v>
      </c>
      <c r="BN2459">
        <v>63.73</v>
      </c>
      <c r="BO2459">
        <v>63.73</v>
      </c>
      <c r="BQ2459" t="s">
        <v>3041</v>
      </c>
      <c r="BR2459" t="s">
        <v>97</v>
      </c>
      <c r="BS2459" s="3">
        <v>45953</v>
      </c>
      <c r="BT2459" s="4">
        <v>0.41875000000000001</v>
      </c>
      <c r="BU2459" t="s">
        <v>3042</v>
      </c>
      <c r="BV2459" t="s">
        <v>86</v>
      </c>
      <c r="BY2459">
        <v>1200</v>
      </c>
      <c r="CA2459" t="s">
        <v>2853</v>
      </c>
      <c r="CC2459" t="s">
        <v>149</v>
      </c>
      <c r="CD2459">
        <v>2049</v>
      </c>
      <c r="CE2459" t="s">
        <v>147</v>
      </c>
      <c r="CF2459" s="3">
        <v>45954</v>
      </c>
      <c r="CI2459">
        <v>1</v>
      </c>
      <c r="CJ2459">
        <v>1</v>
      </c>
      <c r="CK2459">
        <v>22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"080068671293"</f>
        <v>080068671293</v>
      </c>
      <c r="F2460" s="3">
        <v>45952</v>
      </c>
      <c r="G2460">
        <v>202607</v>
      </c>
      <c r="H2460" t="s">
        <v>79</v>
      </c>
      <c r="I2460" t="s">
        <v>80</v>
      </c>
      <c r="J2460" t="s">
        <v>91</v>
      </c>
      <c r="K2460" t="s">
        <v>78</v>
      </c>
      <c r="L2460" t="s">
        <v>884</v>
      </c>
      <c r="M2460" t="s">
        <v>885</v>
      </c>
      <c r="N2460" t="s">
        <v>886</v>
      </c>
      <c r="O2460" t="s">
        <v>82</v>
      </c>
      <c r="P2460" t="str">
        <f>"4170065505                    "</f>
        <v xml:space="preserve">4170065505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43.31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137.47</v>
      </c>
      <c r="BM2460">
        <v>20.62</v>
      </c>
      <c r="BN2460">
        <v>158.09</v>
      </c>
      <c r="BO2460">
        <v>158.09</v>
      </c>
      <c r="BQ2460" t="s">
        <v>887</v>
      </c>
      <c r="BR2460" t="s">
        <v>97</v>
      </c>
      <c r="BS2460" s="3">
        <v>45953</v>
      </c>
      <c r="BT2460" s="4">
        <v>0.30208333333333331</v>
      </c>
      <c r="BU2460" t="s">
        <v>888</v>
      </c>
      <c r="BV2460" t="s">
        <v>86</v>
      </c>
      <c r="BY2460">
        <v>1200</v>
      </c>
      <c r="CC2460" t="s">
        <v>885</v>
      </c>
      <c r="CD2460">
        <v>2740</v>
      </c>
      <c r="CE2460" t="s">
        <v>147</v>
      </c>
      <c r="CF2460" s="3">
        <v>45954</v>
      </c>
      <c r="CI2460">
        <v>1</v>
      </c>
      <c r="CJ2460">
        <v>1</v>
      </c>
      <c r="CK2460">
        <v>23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"080068671297"</f>
        <v>080068671297</v>
      </c>
      <c r="F2461" s="3">
        <v>45952</v>
      </c>
      <c r="G2461">
        <v>202607</v>
      </c>
      <c r="H2461" t="s">
        <v>79</v>
      </c>
      <c r="I2461" t="s">
        <v>80</v>
      </c>
      <c r="J2461" t="s">
        <v>91</v>
      </c>
      <c r="K2461" t="s">
        <v>78</v>
      </c>
      <c r="L2461" t="s">
        <v>1246</v>
      </c>
      <c r="M2461" t="s">
        <v>1247</v>
      </c>
      <c r="N2461" t="s">
        <v>1248</v>
      </c>
      <c r="O2461" t="s">
        <v>226</v>
      </c>
      <c r="P2461" t="str">
        <f>"4170065405                    "</f>
        <v xml:space="preserve">4170065405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59.74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3</v>
      </c>
      <c r="BJ2461">
        <v>3.4</v>
      </c>
      <c r="BK2461">
        <v>3.5</v>
      </c>
      <c r="BL2461">
        <v>189.62</v>
      </c>
      <c r="BM2461">
        <v>28.44</v>
      </c>
      <c r="BN2461">
        <v>218.06</v>
      </c>
      <c r="BO2461">
        <v>218.06</v>
      </c>
      <c r="BQ2461" t="s">
        <v>1249</v>
      </c>
      <c r="BR2461" t="s">
        <v>97</v>
      </c>
      <c r="BS2461" s="3">
        <v>45953</v>
      </c>
      <c r="BT2461" s="4">
        <v>0.31874999999999998</v>
      </c>
      <c r="BU2461" t="s">
        <v>3043</v>
      </c>
      <c r="BV2461" t="s">
        <v>86</v>
      </c>
      <c r="BY2461">
        <v>16965</v>
      </c>
      <c r="CA2461" t="s">
        <v>1251</v>
      </c>
      <c r="CC2461" t="s">
        <v>1247</v>
      </c>
      <c r="CD2461">
        <v>2210</v>
      </c>
      <c r="CE2461" t="s">
        <v>191</v>
      </c>
      <c r="CF2461" s="3">
        <v>45953</v>
      </c>
      <c r="CI2461">
        <v>1</v>
      </c>
      <c r="CJ2461">
        <v>1</v>
      </c>
      <c r="CK2461">
        <v>34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"080068671337"</f>
        <v>080068671337</v>
      </c>
      <c r="F2462" s="3">
        <v>45952</v>
      </c>
      <c r="G2462">
        <v>202607</v>
      </c>
      <c r="H2462" t="s">
        <v>79</v>
      </c>
      <c r="I2462" t="s">
        <v>80</v>
      </c>
      <c r="J2462" t="s">
        <v>91</v>
      </c>
      <c r="K2462" t="s">
        <v>78</v>
      </c>
      <c r="L2462" t="s">
        <v>92</v>
      </c>
      <c r="M2462" t="s">
        <v>93</v>
      </c>
      <c r="N2462" t="s">
        <v>601</v>
      </c>
      <c r="O2462" t="s">
        <v>82</v>
      </c>
      <c r="P2462" t="str">
        <f>"4170065429                    "</f>
        <v xml:space="preserve">4170065429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22.36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1.8</v>
      </c>
      <c r="BK2462">
        <v>2</v>
      </c>
      <c r="BL2462">
        <v>70.959999999999994</v>
      </c>
      <c r="BM2462">
        <v>10.64</v>
      </c>
      <c r="BN2462">
        <v>81.599999999999994</v>
      </c>
      <c r="BO2462">
        <v>81.599999999999994</v>
      </c>
      <c r="BQ2462" t="s">
        <v>602</v>
      </c>
      <c r="BR2462" t="s">
        <v>97</v>
      </c>
      <c r="BS2462" s="3">
        <v>45953</v>
      </c>
      <c r="BT2462" s="4">
        <v>0.4777777777777778</v>
      </c>
      <c r="BU2462" t="s">
        <v>852</v>
      </c>
      <c r="BV2462" t="s">
        <v>86</v>
      </c>
      <c r="BY2462">
        <v>8816</v>
      </c>
      <c r="CC2462" t="s">
        <v>93</v>
      </c>
      <c r="CD2462">
        <v>3212</v>
      </c>
      <c r="CE2462" t="s">
        <v>191</v>
      </c>
      <c r="CF2462" s="3">
        <v>45954</v>
      </c>
      <c r="CI2462">
        <v>2</v>
      </c>
      <c r="CJ2462">
        <v>1</v>
      </c>
      <c r="CK2462">
        <v>21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"080068671350"</f>
        <v>080068671350</v>
      </c>
      <c r="F2463" s="3">
        <v>45952</v>
      </c>
      <c r="G2463">
        <v>202607</v>
      </c>
      <c r="H2463" t="s">
        <v>79</v>
      </c>
      <c r="I2463" t="s">
        <v>80</v>
      </c>
      <c r="J2463" t="s">
        <v>91</v>
      </c>
      <c r="K2463" t="s">
        <v>78</v>
      </c>
      <c r="L2463" t="s">
        <v>668</v>
      </c>
      <c r="M2463" t="s">
        <v>669</v>
      </c>
      <c r="N2463" t="s">
        <v>2489</v>
      </c>
      <c r="O2463" t="s">
        <v>82</v>
      </c>
      <c r="P2463" t="str">
        <f>"4170065500                    "</f>
        <v xml:space="preserve">4170065500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17.46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1.9</v>
      </c>
      <c r="BK2463">
        <v>2</v>
      </c>
      <c r="BL2463">
        <v>55.42</v>
      </c>
      <c r="BM2463">
        <v>8.31</v>
      </c>
      <c r="BN2463">
        <v>63.73</v>
      </c>
      <c r="BO2463">
        <v>63.73</v>
      </c>
      <c r="BQ2463" t="s">
        <v>2490</v>
      </c>
      <c r="BR2463" t="s">
        <v>97</v>
      </c>
      <c r="BS2463" s="3">
        <v>45953</v>
      </c>
      <c r="BT2463" s="4">
        <v>0.43472222222222223</v>
      </c>
      <c r="BU2463" t="s">
        <v>2180</v>
      </c>
      <c r="BV2463" t="s">
        <v>86</v>
      </c>
      <c r="BY2463">
        <v>9600</v>
      </c>
      <c r="CA2463" t="s">
        <v>673</v>
      </c>
      <c r="CC2463" t="s">
        <v>669</v>
      </c>
      <c r="CD2463">
        <v>1501</v>
      </c>
      <c r="CE2463" t="s">
        <v>191</v>
      </c>
      <c r="CF2463" s="3">
        <v>45954</v>
      </c>
      <c r="CI2463">
        <v>1</v>
      </c>
      <c r="CJ2463">
        <v>1</v>
      </c>
      <c r="CK2463">
        <v>22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"080068671470"</f>
        <v>080068671470</v>
      </c>
      <c r="F2464" s="3">
        <v>45952</v>
      </c>
      <c r="G2464">
        <v>202607</v>
      </c>
      <c r="H2464" t="s">
        <v>79</v>
      </c>
      <c r="I2464" t="s">
        <v>80</v>
      </c>
      <c r="J2464" t="s">
        <v>91</v>
      </c>
      <c r="K2464" t="s">
        <v>78</v>
      </c>
      <c r="L2464" t="s">
        <v>322</v>
      </c>
      <c r="M2464" t="s">
        <v>322</v>
      </c>
      <c r="N2464" t="s">
        <v>483</v>
      </c>
      <c r="O2464" t="s">
        <v>82</v>
      </c>
      <c r="P2464" t="str">
        <f>"4170065444                    "</f>
        <v xml:space="preserve">4170065444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43.31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137.47</v>
      </c>
      <c r="BM2464">
        <v>20.62</v>
      </c>
      <c r="BN2464">
        <v>158.09</v>
      </c>
      <c r="BO2464">
        <v>158.09</v>
      </c>
      <c r="BQ2464" t="s">
        <v>486</v>
      </c>
      <c r="BR2464" t="s">
        <v>97</v>
      </c>
      <c r="BS2464" s="3">
        <v>45953</v>
      </c>
      <c r="BT2464" s="4">
        <v>0.53611111111111109</v>
      </c>
      <c r="BU2464" t="s">
        <v>485</v>
      </c>
      <c r="BV2464" t="s">
        <v>86</v>
      </c>
      <c r="BY2464">
        <v>1200</v>
      </c>
      <c r="CA2464" t="s">
        <v>326</v>
      </c>
      <c r="CC2464" t="s">
        <v>322</v>
      </c>
      <c r="CD2464">
        <v>7646</v>
      </c>
      <c r="CE2464" t="s">
        <v>147</v>
      </c>
      <c r="CF2464" s="3">
        <v>45954</v>
      </c>
      <c r="CI2464">
        <v>1</v>
      </c>
      <c r="CJ2464">
        <v>1</v>
      </c>
      <c r="CK2464">
        <v>23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"080068671521"</f>
        <v>080068671521</v>
      </c>
      <c r="F2465" s="3">
        <v>45952</v>
      </c>
      <c r="G2465">
        <v>202607</v>
      </c>
      <c r="H2465" t="s">
        <v>79</v>
      </c>
      <c r="I2465" t="s">
        <v>80</v>
      </c>
      <c r="J2465" t="s">
        <v>91</v>
      </c>
      <c r="K2465" t="s">
        <v>78</v>
      </c>
      <c r="L2465" t="s">
        <v>121</v>
      </c>
      <c r="M2465" t="s">
        <v>122</v>
      </c>
      <c r="N2465" t="s">
        <v>1557</v>
      </c>
      <c r="O2465" t="s">
        <v>82</v>
      </c>
      <c r="P2465" t="str">
        <f>"4170065379                    "</f>
        <v xml:space="preserve">4170065379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22.36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2</v>
      </c>
      <c r="BJ2465">
        <v>1.1000000000000001</v>
      </c>
      <c r="BK2465">
        <v>2</v>
      </c>
      <c r="BL2465">
        <v>70.959999999999994</v>
      </c>
      <c r="BM2465">
        <v>10.64</v>
      </c>
      <c r="BN2465">
        <v>81.599999999999994</v>
      </c>
      <c r="BO2465">
        <v>81.599999999999994</v>
      </c>
      <c r="BQ2465" t="s">
        <v>1558</v>
      </c>
      <c r="BR2465" t="s">
        <v>97</v>
      </c>
      <c r="BS2465" s="3">
        <v>45953</v>
      </c>
      <c r="BT2465" s="4">
        <v>0.41666666666666669</v>
      </c>
      <c r="BU2465" t="s">
        <v>2214</v>
      </c>
      <c r="BV2465" t="s">
        <v>86</v>
      </c>
      <c r="BY2465">
        <v>5510</v>
      </c>
      <c r="CC2465" t="s">
        <v>122</v>
      </c>
      <c r="CD2465">
        <v>4001</v>
      </c>
      <c r="CE2465" t="s">
        <v>191</v>
      </c>
      <c r="CF2465" s="3">
        <v>45953</v>
      </c>
      <c r="CI2465">
        <v>1</v>
      </c>
      <c r="CJ2465">
        <v>1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"080068671663"</f>
        <v>080068671663</v>
      </c>
      <c r="F2466" s="3">
        <v>45952</v>
      </c>
      <c r="G2466">
        <v>202607</v>
      </c>
      <c r="H2466" t="s">
        <v>79</v>
      </c>
      <c r="I2466" t="s">
        <v>80</v>
      </c>
      <c r="J2466" t="s">
        <v>91</v>
      </c>
      <c r="K2466" t="s">
        <v>78</v>
      </c>
      <c r="L2466" t="s">
        <v>233</v>
      </c>
      <c r="M2466" t="s">
        <v>234</v>
      </c>
      <c r="N2466" t="s">
        <v>1066</v>
      </c>
      <c r="O2466" t="s">
        <v>82</v>
      </c>
      <c r="P2466" t="str">
        <f>"4170065501                    "</f>
        <v xml:space="preserve">4170065501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27.94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2.1</v>
      </c>
      <c r="BJ2466">
        <v>1.5</v>
      </c>
      <c r="BK2466">
        <v>2.5</v>
      </c>
      <c r="BL2466">
        <v>88.68</v>
      </c>
      <c r="BM2466">
        <v>13.3</v>
      </c>
      <c r="BN2466">
        <v>101.98</v>
      </c>
      <c r="BO2466">
        <v>101.98</v>
      </c>
      <c r="BQ2466" t="s">
        <v>1067</v>
      </c>
      <c r="BR2466" t="s">
        <v>97</v>
      </c>
      <c r="BS2466" s="3">
        <v>45953</v>
      </c>
      <c r="BT2466" s="4">
        <v>0.35</v>
      </c>
      <c r="BU2466" t="s">
        <v>2268</v>
      </c>
      <c r="BV2466" t="s">
        <v>86</v>
      </c>
      <c r="BY2466">
        <v>7314.42</v>
      </c>
      <c r="CA2466">
        <v>7104145194083</v>
      </c>
      <c r="CC2466" t="s">
        <v>234</v>
      </c>
      <c r="CD2466" s="5" t="s">
        <v>238</v>
      </c>
      <c r="CE2466" t="s">
        <v>191</v>
      </c>
      <c r="CF2466" s="3">
        <v>45953</v>
      </c>
      <c r="CI2466">
        <v>1</v>
      </c>
      <c r="CJ2466">
        <v>1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"080068671688"</f>
        <v>080068671688</v>
      </c>
      <c r="F2467" s="3">
        <v>45952</v>
      </c>
      <c r="G2467">
        <v>202607</v>
      </c>
      <c r="H2467" t="s">
        <v>79</v>
      </c>
      <c r="I2467" t="s">
        <v>80</v>
      </c>
      <c r="J2467" t="s">
        <v>91</v>
      </c>
      <c r="K2467" t="s">
        <v>78</v>
      </c>
      <c r="L2467" t="s">
        <v>168</v>
      </c>
      <c r="M2467" t="s">
        <v>169</v>
      </c>
      <c r="N2467" t="s">
        <v>1010</v>
      </c>
      <c r="O2467" t="s">
        <v>82</v>
      </c>
      <c r="P2467" t="str">
        <f>"4170065516                    "</f>
        <v xml:space="preserve">4170065516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22.36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70.959999999999994</v>
      </c>
      <c r="BM2467">
        <v>10.64</v>
      </c>
      <c r="BN2467">
        <v>81.599999999999994</v>
      </c>
      <c r="BO2467">
        <v>81.599999999999994</v>
      </c>
      <c r="BQ2467" t="s">
        <v>3044</v>
      </c>
      <c r="BR2467" t="s">
        <v>97</v>
      </c>
      <c r="BS2467" s="3">
        <v>45953</v>
      </c>
      <c r="BT2467" s="4">
        <v>0.40555555555555556</v>
      </c>
      <c r="BU2467" t="s">
        <v>3045</v>
      </c>
      <c r="BV2467" t="s">
        <v>86</v>
      </c>
      <c r="BY2467">
        <v>1200</v>
      </c>
      <c r="CA2467">
        <v>8110305701087</v>
      </c>
      <c r="CC2467" t="s">
        <v>169</v>
      </c>
      <c r="CD2467" s="5" t="s">
        <v>839</v>
      </c>
      <c r="CE2467" t="s">
        <v>147</v>
      </c>
      <c r="CF2467" s="3">
        <v>45953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"080068671950"</f>
        <v>080068671950</v>
      </c>
      <c r="F2468" s="3">
        <v>45952</v>
      </c>
      <c r="G2468">
        <v>202607</v>
      </c>
      <c r="H2468" t="s">
        <v>79</v>
      </c>
      <c r="I2468" t="s">
        <v>80</v>
      </c>
      <c r="J2468" t="s">
        <v>91</v>
      </c>
      <c r="K2468" t="s">
        <v>78</v>
      </c>
      <c r="L2468" t="s">
        <v>322</v>
      </c>
      <c r="M2468" t="s">
        <v>322</v>
      </c>
      <c r="N2468" t="s">
        <v>483</v>
      </c>
      <c r="O2468" t="s">
        <v>82</v>
      </c>
      <c r="P2468" t="str">
        <f>"4170065418                    "</f>
        <v xml:space="preserve">4170065418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121.55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6</v>
      </c>
      <c r="BJ2468">
        <v>3.8</v>
      </c>
      <c r="BK2468">
        <v>6</v>
      </c>
      <c r="BL2468">
        <v>385.79</v>
      </c>
      <c r="BM2468">
        <v>57.87</v>
      </c>
      <c r="BN2468">
        <v>443.66</v>
      </c>
      <c r="BO2468">
        <v>443.66</v>
      </c>
      <c r="BQ2468" t="s">
        <v>486</v>
      </c>
      <c r="BR2468" t="s">
        <v>97</v>
      </c>
      <c r="BS2468" s="3">
        <v>45953</v>
      </c>
      <c r="BT2468" s="4">
        <v>0.53611111111111109</v>
      </c>
      <c r="BU2468" t="s">
        <v>485</v>
      </c>
      <c r="BV2468" t="s">
        <v>86</v>
      </c>
      <c r="BY2468">
        <v>19227</v>
      </c>
      <c r="CA2468" t="s">
        <v>326</v>
      </c>
      <c r="CC2468" t="s">
        <v>322</v>
      </c>
      <c r="CD2468">
        <v>7646</v>
      </c>
      <c r="CE2468" t="s">
        <v>191</v>
      </c>
      <c r="CF2468" s="3">
        <v>45954</v>
      </c>
      <c r="CI2468">
        <v>1</v>
      </c>
      <c r="CJ2468">
        <v>1</v>
      </c>
      <c r="CK2468">
        <v>23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"080068671957"</f>
        <v>080068671957</v>
      </c>
      <c r="F2469" s="3">
        <v>45952</v>
      </c>
      <c r="G2469">
        <v>202607</v>
      </c>
      <c r="H2469" t="s">
        <v>79</v>
      </c>
      <c r="I2469" t="s">
        <v>80</v>
      </c>
      <c r="J2469" t="s">
        <v>91</v>
      </c>
      <c r="K2469" t="s">
        <v>78</v>
      </c>
      <c r="L2469" t="s">
        <v>92</v>
      </c>
      <c r="M2469" t="s">
        <v>93</v>
      </c>
      <c r="N2469" t="s">
        <v>2962</v>
      </c>
      <c r="O2469" t="s">
        <v>82</v>
      </c>
      <c r="P2469" t="str">
        <f>"4170065538                    "</f>
        <v xml:space="preserve">4170065538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22.36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70.959999999999994</v>
      </c>
      <c r="BM2469">
        <v>10.64</v>
      </c>
      <c r="BN2469">
        <v>81.599999999999994</v>
      </c>
      <c r="BO2469">
        <v>81.599999999999994</v>
      </c>
      <c r="BQ2469" t="s">
        <v>2963</v>
      </c>
      <c r="BR2469" t="s">
        <v>97</v>
      </c>
      <c r="BS2469" s="3">
        <v>45953</v>
      </c>
      <c r="BT2469" s="4">
        <v>0.3888888888888889</v>
      </c>
      <c r="BU2469" t="s">
        <v>3046</v>
      </c>
      <c r="BV2469" t="s">
        <v>86</v>
      </c>
      <c r="BY2469">
        <v>1200</v>
      </c>
      <c r="CA2469" t="s">
        <v>600</v>
      </c>
      <c r="CC2469" t="s">
        <v>93</v>
      </c>
      <c r="CD2469">
        <v>3201</v>
      </c>
      <c r="CE2469" t="s">
        <v>147</v>
      </c>
      <c r="CF2469" s="3">
        <v>45954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"080068671970"</f>
        <v>080068671970</v>
      </c>
      <c r="F2470" s="3">
        <v>45952</v>
      </c>
      <c r="G2470">
        <v>202607</v>
      </c>
      <c r="H2470" t="s">
        <v>79</v>
      </c>
      <c r="I2470" t="s">
        <v>80</v>
      </c>
      <c r="J2470" t="s">
        <v>91</v>
      </c>
      <c r="K2470" t="s">
        <v>78</v>
      </c>
      <c r="L2470" t="s">
        <v>206</v>
      </c>
      <c r="M2470" t="s">
        <v>207</v>
      </c>
      <c r="N2470" t="s">
        <v>477</v>
      </c>
      <c r="O2470" t="s">
        <v>82</v>
      </c>
      <c r="P2470" t="str">
        <f>"4170065431                    "</f>
        <v xml:space="preserve">4170065431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22.36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70.959999999999994</v>
      </c>
      <c r="BM2470">
        <v>10.64</v>
      </c>
      <c r="BN2470">
        <v>81.599999999999994</v>
      </c>
      <c r="BO2470">
        <v>81.599999999999994</v>
      </c>
      <c r="BQ2470" t="s">
        <v>478</v>
      </c>
      <c r="BR2470" t="s">
        <v>97</v>
      </c>
      <c r="BS2470" s="3">
        <v>45953</v>
      </c>
      <c r="BT2470" s="4">
        <v>0.47569444444444442</v>
      </c>
      <c r="BU2470" t="s">
        <v>3003</v>
      </c>
      <c r="BV2470" t="s">
        <v>90</v>
      </c>
      <c r="BW2470" t="s">
        <v>347</v>
      </c>
      <c r="BX2470" t="s">
        <v>1038</v>
      </c>
      <c r="BY2470">
        <v>1200</v>
      </c>
      <c r="CA2470" t="s">
        <v>480</v>
      </c>
      <c r="CC2470" t="s">
        <v>207</v>
      </c>
      <c r="CD2470">
        <v>7480</v>
      </c>
      <c r="CE2470" t="s">
        <v>147</v>
      </c>
      <c r="CF2470" s="3">
        <v>45954</v>
      </c>
      <c r="CI2470">
        <v>1</v>
      </c>
      <c r="CJ2470">
        <v>1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"080068672016"</f>
        <v>080068672016</v>
      </c>
      <c r="F2471" s="3">
        <v>45952</v>
      </c>
      <c r="G2471">
        <v>202607</v>
      </c>
      <c r="H2471" t="s">
        <v>79</v>
      </c>
      <c r="I2471" t="s">
        <v>80</v>
      </c>
      <c r="J2471" t="s">
        <v>91</v>
      </c>
      <c r="K2471" t="s">
        <v>78</v>
      </c>
      <c r="L2471" t="s">
        <v>108</v>
      </c>
      <c r="M2471" t="s">
        <v>109</v>
      </c>
      <c r="N2471" t="s">
        <v>2498</v>
      </c>
      <c r="O2471" t="s">
        <v>82</v>
      </c>
      <c r="P2471" t="str">
        <f>"4170065535                    "</f>
        <v xml:space="preserve">4170065535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22.36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70.959999999999994</v>
      </c>
      <c r="BM2471">
        <v>10.64</v>
      </c>
      <c r="BN2471">
        <v>81.599999999999994</v>
      </c>
      <c r="BO2471">
        <v>81.599999999999994</v>
      </c>
      <c r="BQ2471" t="s">
        <v>2499</v>
      </c>
      <c r="BR2471" t="s">
        <v>97</v>
      </c>
      <c r="BS2471" s="3">
        <v>45953</v>
      </c>
      <c r="BT2471" s="4">
        <v>0.38958333333333334</v>
      </c>
      <c r="BU2471" t="s">
        <v>3047</v>
      </c>
      <c r="BV2471" t="s">
        <v>86</v>
      </c>
      <c r="BY2471">
        <v>1200</v>
      </c>
      <c r="CA2471" t="s">
        <v>1145</v>
      </c>
      <c r="CC2471" t="s">
        <v>109</v>
      </c>
      <c r="CD2471">
        <v>6001</v>
      </c>
      <c r="CE2471" t="s">
        <v>147</v>
      </c>
      <c r="CF2471" s="3">
        <v>45953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"080068672060"</f>
        <v>080068672060</v>
      </c>
      <c r="F2472" s="3">
        <v>45952</v>
      </c>
      <c r="G2472">
        <v>202607</v>
      </c>
      <c r="H2472" t="s">
        <v>79</v>
      </c>
      <c r="I2472" t="s">
        <v>80</v>
      </c>
      <c r="J2472" t="s">
        <v>91</v>
      </c>
      <c r="K2472" t="s">
        <v>78</v>
      </c>
      <c r="L2472" t="s">
        <v>1657</v>
      </c>
      <c r="M2472" t="s">
        <v>1657</v>
      </c>
      <c r="N2472" t="s">
        <v>3048</v>
      </c>
      <c r="O2472" t="s">
        <v>82</v>
      </c>
      <c r="P2472" t="str">
        <f>"4170065524                    "</f>
        <v xml:space="preserve">4170065524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31.44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99.79</v>
      </c>
      <c r="BM2472">
        <v>14.97</v>
      </c>
      <c r="BN2472">
        <v>114.76</v>
      </c>
      <c r="BO2472">
        <v>114.76</v>
      </c>
      <c r="BQ2472" t="s">
        <v>3049</v>
      </c>
      <c r="BR2472" t="s">
        <v>97</v>
      </c>
      <c r="BS2472" s="3">
        <v>45953</v>
      </c>
      <c r="BT2472" s="4">
        <v>0.5180555555555556</v>
      </c>
      <c r="BU2472" t="s">
        <v>3050</v>
      </c>
      <c r="BV2472" t="s">
        <v>86</v>
      </c>
      <c r="BY2472">
        <v>1200</v>
      </c>
      <c r="CA2472" t="s">
        <v>1619</v>
      </c>
      <c r="CC2472" t="s">
        <v>1657</v>
      </c>
      <c r="CD2472">
        <v>1491</v>
      </c>
      <c r="CE2472" t="s">
        <v>147</v>
      </c>
      <c r="CF2472" s="3">
        <v>45954</v>
      </c>
      <c r="CI2472">
        <v>1</v>
      </c>
      <c r="CJ2472">
        <v>1</v>
      </c>
      <c r="CK2472">
        <v>24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"080068672080"</f>
        <v>080068672080</v>
      </c>
      <c r="F2473" s="3">
        <v>45952</v>
      </c>
      <c r="G2473">
        <v>202607</v>
      </c>
      <c r="H2473" t="s">
        <v>79</v>
      </c>
      <c r="I2473" t="s">
        <v>80</v>
      </c>
      <c r="J2473" t="s">
        <v>91</v>
      </c>
      <c r="K2473" t="s">
        <v>78</v>
      </c>
      <c r="L2473" t="s">
        <v>79</v>
      </c>
      <c r="M2473" t="s">
        <v>80</v>
      </c>
      <c r="N2473" t="s">
        <v>577</v>
      </c>
      <c r="O2473" t="s">
        <v>82</v>
      </c>
      <c r="P2473" t="str">
        <f>"4170065344                    "</f>
        <v xml:space="preserve">4170065344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17.46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55.42</v>
      </c>
      <c r="BM2473">
        <v>8.31</v>
      </c>
      <c r="BN2473">
        <v>63.73</v>
      </c>
      <c r="BO2473">
        <v>63.73</v>
      </c>
      <c r="BQ2473" t="s">
        <v>578</v>
      </c>
      <c r="BR2473" t="s">
        <v>97</v>
      </c>
      <c r="BS2473" s="3">
        <v>45953</v>
      </c>
      <c r="BT2473" s="4">
        <v>0.37847222222222221</v>
      </c>
      <c r="BU2473" t="s">
        <v>1536</v>
      </c>
      <c r="BV2473" t="s">
        <v>86</v>
      </c>
      <c r="BY2473">
        <v>1200</v>
      </c>
      <c r="CA2473" t="s">
        <v>580</v>
      </c>
      <c r="CC2473" t="s">
        <v>80</v>
      </c>
      <c r="CD2473">
        <v>1619</v>
      </c>
      <c r="CE2473" t="s">
        <v>147</v>
      </c>
      <c r="CF2473" s="3">
        <v>45954</v>
      </c>
      <c r="CI2473">
        <v>1</v>
      </c>
      <c r="CJ2473">
        <v>1</v>
      </c>
      <c r="CK2473">
        <v>22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"080068672638"</f>
        <v>080068672638</v>
      </c>
      <c r="F2474" s="3">
        <v>45952</v>
      </c>
      <c r="G2474">
        <v>202607</v>
      </c>
      <c r="H2474" t="s">
        <v>79</v>
      </c>
      <c r="I2474" t="s">
        <v>80</v>
      </c>
      <c r="J2474" t="s">
        <v>91</v>
      </c>
      <c r="K2474" t="s">
        <v>78</v>
      </c>
      <c r="L2474" t="s">
        <v>1638</v>
      </c>
      <c r="M2474" t="s">
        <v>1639</v>
      </c>
      <c r="N2474" t="s">
        <v>3051</v>
      </c>
      <c r="O2474" t="s">
        <v>95</v>
      </c>
      <c r="P2474" t="str">
        <f>"4170065571                    "</f>
        <v xml:space="preserve">4170065571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176.2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40</v>
      </c>
      <c r="BJ2474">
        <v>51.8</v>
      </c>
      <c r="BK2474">
        <v>52</v>
      </c>
      <c r="BL2474">
        <v>565.11</v>
      </c>
      <c r="BM2474">
        <v>84.77</v>
      </c>
      <c r="BN2474">
        <v>649.88</v>
      </c>
      <c r="BO2474">
        <v>649.88</v>
      </c>
      <c r="BQ2474" t="s">
        <v>3052</v>
      </c>
      <c r="BR2474" t="s">
        <v>97</v>
      </c>
      <c r="BS2474" s="3">
        <v>45953</v>
      </c>
      <c r="BT2474" s="4">
        <v>0.74444444444444446</v>
      </c>
      <c r="BU2474" t="s">
        <v>3053</v>
      </c>
      <c r="BV2474" t="s">
        <v>86</v>
      </c>
      <c r="BY2474">
        <v>259038</v>
      </c>
      <c r="CA2474" t="s">
        <v>3054</v>
      </c>
      <c r="CC2474" t="s">
        <v>1639</v>
      </c>
      <c r="CD2474">
        <v>1389</v>
      </c>
      <c r="CE2474" t="s">
        <v>3055</v>
      </c>
      <c r="CF2474" s="3">
        <v>45954</v>
      </c>
      <c r="CI2474">
        <v>1</v>
      </c>
      <c r="CJ2474">
        <v>1</v>
      </c>
      <c r="CK2474">
        <v>43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"080068672744"</f>
        <v>080068672744</v>
      </c>
      <c r="F2475" s="3">
        <v>45952</v>
      </c>
      <c r="G2475">
        <v>202607</v>
      </c>
      <c r="H2475" t="s">
        <v>79</v>
      </c>
      <c r="I2475" t="s">
        <v>80</v>
      </c>
      <c r="J2475" t="s">
        <v>91</v>
      </c>
      <c r="K2475" t="s">
        <v>78</v>
      </c>
      <c r="L2475" t="s">
        <v>218</v>
      </c>
      <c r="M2475" t="s">
        <v>219</v>
      </c>
      <c r="N2475" t="s">
        <v>898</v>
      </c>
      <c r="O2475" t="s">
        <v>82</v>
      </c>
      <c r="P2475" t="str">
        <f>"4170065536                    "</f>
        <v xml:space="preserve">4170065536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17.46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55.42</v>
      </c>
      <c r="BM2475">
        <v>8.31</v>
      </c>
      <c r="BN2475">
        <v>63.73</v>
      </c>
      <c r="BO2475">
        <v>63.73</v>
      </c>
      <c r="BQ2475" t="s">
        <v>899</v>
      </c>
      <c r="BR2475" t="s">
        <v>97</v>
      </c>
      <c r="BS2475" s="3">
        <v>45953</v>
      </c>
      <c r="BT2475" s="4">
        <v>0.3125</v>
      </c>
      <c r="BU2475" t="s">
        <v>3056</v>
      </c>
      <c r="BV2475" t="s">
        <v>86</v>
      </c>
      <c r="BY2475">
        <v>1200</v>
      </c>
      <c r="CA2475" t="s">
        <v>1434</v>
      </c>
      <c r="CC2475" t="s">
        <v>219</v>
      </c>
      <c r="CD2475">
        <v>1559</v>
      </c>
      <c r="CE2475" t="s">
        <v>147</v>
      </c>
      <c r="CF2475" s="3">
        <v>45953</v>
      </c>
      <c r="CI2475">
        <v>1</v>
      </c>
      <c r="CJ2475">
        <v>1</v>
      </c>
      <c r="CK2475">
        <v>22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"080068672747"</f>
        <v>080068672747</v>
      </c>
      <c r="F2476" s="3">
        <v>45952</v>
      </c>
      <c r="G2476">
        <v>202607</v>
      </c>
      <c r="H2476" t="s">
        <v>79</v>
      </c>
      <c r="I2476" t="s">
        <v>80</v>
      </c>
      <c r="J2476" t="s">
        <v>91</v>
      </c>
      <c r="K2476" t="s">
        <v>78</v>
      </c>
      <c r="L2476" t="s">
        <v>79</v>
      </c>
      <c r="M2476" t="s">
        <v>80</v>
      </c>
      <c r="N2476" t="s">
        <v>628</v>
      </c>
      <c r="O2476" t="s">
        <v>82</v>
      </c>
      <c r="P2476" t="str">
        <f>"4170065539                    "</f>
        <v xml:space="preserve">4170065539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17.46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0.7</v>
      </c>
      <c r="BK2476">
        <v>1</v>
      </c>
      <c r="BL2476">
        <v>55.42</v>
      </c>
      <c r="BM2476">
        <v>8.31</v>
      </c>
      <c r="BN2476">
        <v>63.73</v>
      </c>
      <c r="BO2476">
        <v>63.73</v>
      </c>
      <c r="BQ2476" t="s">
        <v>629</v>
      </c>
      <c r="BR2476" t="s">
        <v>97</v>
      </c>
      <c r="BS2476" s="3">
        <v>45953</v>
      </c>
      <c r="BT2476" s="4">
        <v>0.42222222222222222</v>
      </c>
      <c r="BU2476" t="s">
        <v>3057</v>
      </c>
      <c r="BV2476" t="s">
        <v>86</v>
      </c>
      <c r="BY2476">
        <v>3306</v>
      </c>
      <c r="CA2476" t="s">
        <v>88</v>
      </c>
      <c r="CC2476" t="s">
        <v>80</v>
      </c>
      <c r="CD2476">
        <v>1601</v>
      </c>
      <c r="CE2476" t="s">
        <v>191</v>
      </c>
      <c r="CF2476" s="3">
        <v>45953</v>
      </c>
      <c r="CI2476">
        <v>1</v>
      </c>
      <c r="CJ2476">
        <v>1</v>
      </c>
      <c r="CK2476">
        <v>22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"080068672784"</f>
        <v>080068672784</v>
      </c>
      <c r="F2477" s="3">
        <v>45952</v>
      </c>
      <c r="G2477">
        <v>202607</v>
      </c>
      <c r="H2477" t="s">
        <v>79</v>
      </c>
      <c r="I2477" t="s">
        <v>80</v>
      </c>
      <c r="J2477" t="s">
        <v>91</v>
      </c>
      <c r="K2477" t="s">
        <v>78</v>
      </c>
      <c r="L2477" t="s">
        <v>108</v>
      </c>
      <c r="M2477" t="s">
        <v>109</v>
      </c>
      <c r="N2477" t="s">
        <v>1203</v>
      </c>
      <c r="O2477" t="s">
        <v>82</v>
      </c>
      <c r="P2477" t="str">
        <f>"4170065404                    "</f>
        <v xml:space="preserve">4170065404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22.36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0.9</v>
      </c>
      <c r="BK2477">
        <v>1</v>
      </c>
      <c r="BL2477">
        <v>70.959999999999994</v>
      </c>
      <c r="BM2477">
        <v>10.64</v>
      </c>
      <c r="BN2477">
        <v>81.599999999999994</v>
      </c>
      <c r="BO2477">
        <v>81.599999999999994</v>
      </c>
      <c r="BQ2477" t="s">
        <v>1204</v>
      </c>
      <c r="BR2477" t="s">
        <v>97</v>
      </c>
      <c r="BS2477" s="3">
        <v>45953</v>
      </c>
      <c r="BT2477" s="4">
        <v>0.40833333333333333</v>
      </c>
      <c r="BU2477" t="s">
        <v>3058</v>
      </c>
      <c r="BV2477" t="s">
        <v>86</v>
      </c>
      <c r="BY2477">
        <v>4275</v>
      </c>
      <c r="CA2477" t="s">
        <v>551</v>
      </c>
      <c r="CC2477" t="s">
        <v>109</v>
      </c>
      <c r="CD2477">
        <v>6012</v>
      </c>
      <c r="CE2477" t="s">
        <v>191</v>
      </c>
      <c r="CF2477" s="3">
        <v>45953</v>
      </c>
      <c r="CI2477">
        <v>1</v>
      </c>
      <c r="CJ2477">
        <v>1</v>
      </c>
      <c r="CK2477">
        <v>21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"080068672783"</f>
        <v>080068672783</v>
      </c>
      <c r="F2478" s="3">
        <v>45952</v>
      </c>
      <c r="G2478">
        <v>202607</v>
      </c>
      <c r="H2478" t="s">
        <v>79</v>
      </c>
      <c r="I2478" t="s">
        <v>80</v>
      </c>
      <c r="J2478" t="s">
        <v>91</v>
      </c>
      <c r="K2478" t="s">
        <v>78</v>
      </c>
      <c r="L2478" t="s">
        <v>218</v>
      </c>
      <c r="M2478" t="s">
        <v>219</v>
      </c>
      <c r="N2478" t="s">
        <v>1248</v>
      </c>
      <c r="O2478" t="s">
        <v>82</v>
      </c>
      <c r="P2478" t="str">
        <f>"4170065537                    "</f>
        <v xml:space="preserve">4170065537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17.46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55.42</v>
      </c>
      <c r="BM2478">
        <v>8.31</v>
      </c>
      <c r="BN2478">
        <v>63.73</v>
      </c>
      <c r="BO2478">
        <v>63.73</v>
      </c>
      <c r="BQ2478" t="s">
        <v>1249</v>
      </c>
      <c r="BR2478" t="s">
        <v>97</v>
      </c>
      <c r="BS2478" s="3">
        <v>45953</v>
      </c>
      <c r="BT2478" s="4">
        <v>0.43819444444444444</v>
      </c>
      <c r="BU2478" t="s">
        <v>2102</v>
      </c>
      <c r="BV2478" t="s">
        <v>86</v>
      </c>
      <c r="BY2478">
        <v>1200</v>
      </c>
      <c r="CA2478" t="s">
        <v>1434</v>
      </c>
      <c r="CC2478" t="s">
        <v>219</v>
      </c>
      <c r="CD2478">
        <v>1559</v>
      </c>
      <c r="CE2478" t="s">
        <v>147</v>
      </c>
      <c r="CF2478" s="3">
        <v>45953</v>
      </c>
      <c r="CI2478">
        <v>1</v>
      </c>
      <c r="CJ2478">
        <v>1</v>
      </c>
      <c r="CK2478">
        <v>22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"080068672833"</f>
        <v>080068672833</v>
      </c>
      <c r="F2479" s="3">
        <v>45952</v>
      </c>
      <c r="G2479">
        <v>202607</v>
      </c>
      <c r="H2479" t="s">
        <v>79</v>
      </c>
      <c r="I2479" t="s">
        <v>80</v>
      </c>
      <c r="J2479" t="s">
        <v>91</v>
      </c>
      <c r="K2479" t="s">
        <v>78</v>
      </c>
      <c r="L2479" t="s">
        <v>206</v>
      </c>
      <c r="M2479" t="s">
        <v>207</v>
      </c>
      <c r="N2479" t="s">
        <v>656</v>
      </c>
      <c r="O2479" t="s">
        <v>82</v>
      </c>
      <c r="P2479" t="str">
        <f>"4170065521                    "</f>
        <v xml:space="preserve">4170065521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22.36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70.959999999999994</v>
      </c>
      <c r="BM2479">
        <v>10.64</v>
      </c>
      <c r="BN2479">
        <v>81.599999999999994</v>
      </c>
      <c r="BO2479">
        <v>81.599999999999994</v>
      </c>
      <c r="BQ2479" t="s">
        <v>657</v>
      </c>
      <c r="BR2479" t="s">
        <v>97</v>
      </c>
      <c r="BS2479" s="3">
        <v>45953</v>
      </c>
      <c r="BT2479" s="4">
        <v>0.42777777777777776</v>
      </c>
      <c r="BU2479" t="s">
        <v>658</v>
      </c>
      <c r="BV2479" t="s">
        <v>86</v>
      </c>
      <c r="BY2479">
        <v>1200</v>
      </c>
      <c r="CA2479" t="s">
        <v>211</v>
      </c>
      <c r="CC2479" t="s">
        <v>207</v>
      </c>
      <c r="CD2479">
        <v>7441</v>
      </c>
      <c r="CE2479" t="s">
        <v>147</v>
      </c>
      <c r="CF2479" s="3">
        <v>45954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"080068672843"</f>
        <v>080068672843</v>
      </c>
      <c r="F2480" s="3">
        <v>45952</v>
      </c>
      <c r="G2480">
        <v>202607</v>
      </c>
      <c r="H2480" t="s">
        <v>79</v>
      </c>
      <c r="I2480" t="s">
        <v>80</v>
      </c>
      <c r="J2480" t="s">
        <v>91</v>
      </c>
      <c r="K2480" t="s">
        <v>78</v>
      </c>
      <c r="L2480" t="s">
        <v>322</v>
      </c>
      <c r="M2480" t="s">
        <v>322</v>
      </c>
      <c r="N2480" t="s">
        <v>481</v>
      </c>
      <c r="O2480" t="s">
        <v>82</v>
      </c>
      <c r="P2480" t="str">
        <f>"4170065406                    "</f>
        <v xml:space="preserve">4170065406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43.31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1.8</v>
      </c>
      <c r="BK2480">
        <v>2</v>
      </c>
      <c r="BL2480">
        <v>137.47</v>
      </c>
      <c r="BM2480">
        <v>20.62</v>
      </c>
      <c r="BN2480">
        <v>158.09</v>
      </c>
      <c r="BO2480">
        <v>158.09</v>
      </c>
      <c r="BQ2480" t="s">
        <v>482</v>
      </c>
      <c r="BR2480" t="s">
        <v>97</v>
      </c>
      <c r="BS2480" s="3">
        <v>45953</v>
      </c>
      <c r="BT2480" s="4">
        <v>0.53819444444444442</v>
      </c>
      <c r="BU2480" t="s">
        <v>378</v>
      </c>
      <c r="BV2480" t="s">
        <v>86</v>
      </c>
      <c r="BY2480">
        <v>8816</v>
      </c>
      <c r="CA2480" t="s">
        <v>326</v>
      </c>
      <c r="CC2480" t="s">
        <v>322</v>
      </c>
      <c r="CD2480">
        <v>7646</v>
      </c>
      <c r="CE2480" t="s">
        <v>191</v>
      </c>
      <c r="CF2480" s="3">
        <v>45954</v>
      </c>
      <c r="CI2480">
        <v>1</v>
      </c>
      <c r="CJ2480">
        <v>1</v>
      </c>
      <c r="CK2480">
        <v>23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"080068672842"</f>
        <v>080068672842</v>
      </c>
      <c r="F2481" s="3">
        <v>45952</v>
      </c>
      <c r="G2481">
        <v>202607</v>
      </c>
      <c r="H2481" t="s">
        <v>79</v>
      </c>
      <c r="I2481" t="s">
        <v>80</v>
      </c>
      <c r="J2481" t="s">
        <v>91</v>
      </c>
      <c r="K2481" t="s">
        <v>78</v>
      </c>
      <c r="L2481" t="s">
        <v>322</v>
      </c>
      <c r="M2481" t="s">
        <v>322</v>
      </c>
      <c r="N2481" t="s">
        <v>483</v>
      </c>
      <c r="O2481" t="s">
        <v>82</v>
      </c>
      <c r="P2481" t="str">
        <f>"4170065423                    "</f>
        <v xml:space="preserve">4170065423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43.31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137.47</v>
      </c>
      <c r="BM2481">
        <v>20.62</v>
      </c>
      <c r="BN2481">
        <v>158.09</v>
      </c>
      <c r="BO2481">
        <v>158.09</v>
      </c>
      <c r="BQ2481" t="s">
        <v>486</v>
      </c>
      <c r="BR2481" t="s">
        <v>97</v>
      </c>
      <c r="BS2481" s="3">
        <v>45953</v>
      </c>
      <c r="BT2481" s="4">
        <v>0.53611111111111109</v>
      </c>
      <c r="BU2481" t="s">
        <v>485</v>
      </c>
      <c r="BV2481" t="s">
        <v>86</v>
      </c>
      <c r="BY2481">
        <v>1200</v>
      </c>
      <c r="CA2481" t="s">
        <v>326</v>
      </c>
      <c r="CC2481" t="s">
        <v>322</v>
      </c>
      <c r="CD2481">
        <v>7646</v>
      </c>
      <c r="CE2481" t="s">
        <v>147</v>
      </c>
      <c r="CF2481" s="3">
        <v>45954</v>
      </c>
      <c r="CI2481">
        <v>1</v>
      </c>
      <c r="CJ2481">
        <v>1</v>
      </c>
      <c r="CK2481">
        <v>23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"080068672880"</f>
        <v>080068672880</v>
      </c>
      <c r="F2482" s="3">
        <v>45952</v>
      </c>
      <c r="G2482">
        <v>202607</v>
      </c>
      <c r="H2482" t="s">
        <v>79</v>
      </c>
      <c r="I2482" t="s">
        <v>80</v>
      </c>
      <c r="J2482" t="s">
        <v>91</v>
      </c>
      <c r="K2482" t="s">
        <v>78</v>
      </c>
      <c r="L2482" t="s">
        <v>79</v>
      </c>
      <c r="M2482" t="s">
        <v>80</v>
      </c>
      <c r="N2482" t="s">
        <v>163</v>
      </c>
      <c r="O2482" t="s">
        <v>82</v>
      </c>
      <c r="P2482" t="str">
        <f>"4170065456                    "</f>
        <v xml:space="preserve">4170065456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17.46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55.42</v>
      </c>
      <c r="BM2482">
        <v>8.31</v>
      </c>
      <c r="BN2482">
        <v>63.73</v>
      </c>
      <c r="BO2482">
        <v>63.73</v>
      </c>
      <c r="BQ2482" t="s">
        <v>164</v>
      </c>
      <c r="BR2482" t="s">
        <v>97</v>
      </c>
      <c r="BS2482" s="3">
        <v>45953</v>
      </c>
      <c r="BT2482" s="4">
        <v>0.30833333333333335</v>
      </c>
      <c r="BU2482" t="s">
        <v>2639</v>
      </c>
      <c r="BV2482" t="s">
        <v>86</v>
      </c>
      <c r="BY2482">
        <v>1200</v>
      </c>
      <c r="CA2482" t="s">
        <v>166</v>
      </c>
      <c r="CC2482" t="s">
        <v>80</v>
      </c>
      <c r="CD2482">
        <v>1600</v>
      </c>
      <c r="CE2482" t="s">
        <v>147</v>
      </c>
      <c r="CF2482" s="3">
        <v>45953</v>
      </c>
      <c r="CI2482">
        <v>1</v>
      </c>
      <c r="CJ2482">
        <v>1</v>
      </c>
      <c r="CK2482">
        <v>22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"080068672895"</f>
        <v>080068672895</v>
      </c>
      <c r="F2483" s="3">
        <v>45952</v>
      </c>
      <c r="G2483">
        <v>202607</v>
      </c>
      <c r="H2483" t="s">
        <v>79</v>
      </c>
      <c r="I2483" t="s">
        <v>80</v>
      </c>
      <c r="J2483" t="s">
        <v>91</v>
      </c>
      <c r="K2483" t="s">
        <v>78</v>
      </c>
      <c r="L2483" t="s">
        <v>79</v>
      </c>
      <c r="M2483" t="s">
        <v>80</v>
      </c>
      <c r="N2483" t="s">
        <v>163</v>
      </c>
      <c r="O2483" t="s">
        <v>226</v>
      </c>
      <c r="P2483" t="str">
        <f>"4170065381                    "</f>
        <v xml:space="preserve">4170065381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17.47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3</v>
      </c>
      <c r="BJ2483">
        <v>6.1</v>
      </c>
      <c r="BK2483">
        <v>7</v>
      </c>
      <c r="BL2483">
        <v>55.44</v>
      </c>
      <c r="BM2483">
        <v>8.32</v>
      </c>
      <c r="BN2483">
        <v>63.76</v>
      </c>
      <c r="BO2483">
        <v>63.76</v>
      </c>
      <c r="BQ2483" t="s">
        <v>164</v>
      </c>
      <c r="BR2483" t="s">
        <v>97</v>
      </c>
      <c r="BS2483" s="3">
        <v>45953</v>
      </c>
      <c r="BT2483" s="4">
        <v>0.30833333333333335</v>
      </c>
      <c r="BU2483" t="s">
        <v>2639</v>
      </c>
      <c r="BV2483" t="s">
        <v>86</v>
      </c>
      <c r="BY2483">
        <v>30525</v>
      </c>
      <c r="CA2483" t="s">
        <v>166</v>
      </c>
      <c r="CC2483" t="s">
        <v>80</v>
      </c>
      <c r="CD2483">
        <v>1600</v>
      </c>
      <c r="CE2483" t="s">
        <v>107</v>
      </c>
      <c r="CF2483" s="3">
        <v>45953</v>
      </c>
      <c r="CI2483">
        <v>1</v>
      </c>
      <c r="CJ2483">
        <v>1</v>
      </c>
      <c r="CK2483">
        <v>32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"080068672908"</f>
        <v>080068672908</v>
      </c>
      <c r="F2484" s="3">
        <v>45952</v>
      </c>
      <c r="G2484">
        <v>202607</v>
      </c>
      <c r="H2484" t="s">
        <v>79</v>
      </c>
      <c r="I2484" t="s">
        <v>80</v>
      </c>
      <c r="J2484" t="s">
        <v>91</v>
      </c>
      <c r="K2484" t="s">
        <v>78</v>
      </c>
      <c r="L2484" t="s">
        <v>884</v>
      </c>
      <c r="M2484" t="s">
        <v>885</v>
      </c>
      <c r="N2484" t="s">
        <v>886</v>
      </c>
      <c r="O2484" t="s">
        <v>82</v>
      </c>
      <c r="P2484" t="str">
        <f>"4170065544                    "</f>
        <v xml:space="preserve">4170065544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43.31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137.47</v>
      </c>
      <c r="BM2484">
        <v>20.62</v>
      </c>
      <c r="BN2484">
        <v>158.09</v>
      </c>
      <c r="BO2484">
        <v>158.09</v>
      </c>
      <c r="BQ2484" t="s">
        <v>887</v>
      </c>
      <c r="BR2484" t="s">
        <v>97</v>
      </c>
      <c r="BS2484" s="3">
        <v>45953</v>
      </c>
      <c r="BT2484" s="4">
        <v>0.30208333333333331</v>
      </c>
      <c r="BU2484" t="s">
        <v>888</v>
      </c>
      <c r="BV2484" t="s">
        <v>86</v>
      </c>
      <c r="BY2484">
        <v>1200</v>
      </c>
      <c r="CC2484" t="s">
        <v>885</v>
      </c>
      <c r="CD2484">
        <v>2740</v>
      </c>
      <c r="CE2484" t="s">
        <v>147</v>
      </c>
      <c r="CF2484" s="3">
        <v>45954</v>
      </c>
      <c r="CI2484">
        <v>1</v>
      </c>
      <c r="CJ2484">
        <v>1</v>
      </c>
      <c r="CK2484">
        <v>23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"080068672949"</f>
        <v>080068672949</v>
      </c>
      <c r="F2485" s="3">
        <v>45952</v>
      </c>
      <c r="G2485">
        <v>202607</v>
      </c>
      <c r="H2485" t="s">
        <v>79</v>
      </c>
      <c r="I2485" t="s">
        <v>80</v>
      </c>
      <c r="J2485" t="s">
        <v>91</v>
      </c>
      <c r="K2485" t="s">
        <v>78</v>
      </c>
      <c r="L2485" t="s">
        <v>542</v>
      </c>
      <c r="M2485" t="s">
        <v>543</v>
      </c>
      <c r="N2485" t="s">
        <v>2149</v>
      </c>
      <c r="O2485" t="s">
        <v>82</v>
      </c>
      <c r="P2485" t="str">
        <f>"4170065546                    "</f>
        <v xml:space="preserve">4170065546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17.46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55.42</v>
      </c>
      <c r="BM2485">
        <v>8.31</v>
      </c>
      <c r="BN2485">
        <v>63.73</v>
      </c>
      <c r="BO2485">
        <v>63.73</v>
      </c>
      <c r="BQ2485" t="s">
        <v>2150</v>
      </c>
      <c r="BR2485" t="s">
        <v>97</v>
      </c>
      <c r="BS2485" s="3">
        <v>45953</v>
      </c>
      <c r="BT2485" s="4">
        <v>0.38124999999999998</v>
      </c>
      <c r="BU2485" t="s">
        <v>3059</v>
      </c>
      <c r="BV2485" t="s">
        <v>86</v>
      </c>
      <c r="BY2485">
        <v>1200</v>
      </c>
      <c r="CA2485" t="s">
        <v>3060</v>
      </c>
      <c r="CC2485" t="s">
        <v>543</v>
      </c>
      <c r="CD2485">
        <v>1682</v>
      </c>
      <c r="CE2485" t="s">
        <v>147</v>
      </c>
      <c r="CF2485" s="3">
        <v>45954</v>
      </c>
      <c r="CI2485">
        <v>1</v>
      </c>
      <c r="CJ2485">
        <v>1</v>
      </c>
      <c r="CK2485">
        <v>22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"080068672954"</f>
        <v>080068672954</v>
      </c>
      <c r="F2486" s="3">
        <v>45952</v>
      </c>
      <c r="G2486">
        <v>202607</v>
      </c>
      <c r="H2486" t="s">
        <v>79</v>
      </c>
      <c r="I2486" t="s">
        <v>80</v>
      </c>
      <c r="J2486" t="s">
        <v>91</v>
      </c>
      <c r="K2486" t="s">
        <v>78</v>
      </c>
      <c r="L2486" t="s">
        <v>206</v>
      </c>
      <c r="M2486" t="s">
        <v>207</v>
      </c>
      <c r="N2486" t="s">
        <v>427</v>
      </c>
      <c r="O2486" t="s">
        <v>82</v>
      </c>
      <c r="P2486" t="str">
        <f>"4170065542                    "</f>
        <v xml:space="preserve">4170065542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22.36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70.959999999999994</v>
      </c>
      <c r="BM2486">
        <v>10.64</v>
      </c>
      <c r="BN2486">
        <v>81.599999999999994</v>
      </c>
      <c r="BO2486">
        <v>81.599999999999994</v>
      </c>
      <c r="BQ2486" t="s">
        <v>428</v>
      </c>
      <c r="BR2486" t="s">
        <v>97</v>
      </c>
      <c r="BS2486" s="3">
        <v>45953</v>
      </c>
      <c r="BT2486" s="4">
        <v>0.31944444444444442</v>
      </c>
      <c r="BU2486" t="s">
        <v>3061</v>
      </c>
      <c r="BV2486" t="s">
        <v>86</v>
      </c>
      <c r="BY2486">
        <v>1200</v>
      </c>
      <c r="CA2486" t="s">
        <v>785</v>
      </c>
      <c r="CC2486" t="s">
        <v>207</v>
      </c>
      <c r="CD2486">
        <v>7530</v>
      </c>
      <c r="CE2486" t="s">
        <v>147</v>
      </c>
      <c r="CF2486" s="3">
        <v>45954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"080068672988"</f>
        <v>080068672988</v>
      </c>
      <c r="F2487" s="3">
        <v>45952</v>
      </c>
      <c r="G2487">
        <v>202607</v>
      </c>
      <c r="H2487" t="s">
        <v>79</v>
      </c>
      <c r="I2487" t="s">
        <v>80</v>
      </c>
      <c r="J2487" t="s">
        <v>91</v>
      </c>
      <c r="K2487" t="s">
        <v>78</v>
      </c>
      <c r="L2487" t="s">
        <v>946</v>
      </c>
      <c r="M2487" t="s">
        <v>947</v>
      </c>
      <c r="N2487" t="s">
        <v>948</v>
      </c>
      <c r="O2487" t="s">
        <v>82</v>
      </c>
      <c r="P2487" t="str">
        <f>"4170065441                    "</f>
        <v xml:space="preserve">4170065441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43.31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137.47</v>
      </c>
      <c r="BM2487">
        <v>20.62</v>
      </c>
      <c r="BN2487">
        <v>158.09</v>
      </c>
      <c r="BO2487">
        <v>158.09</v>
      </c>
      <c r="BQ2487" t="s">
        <v>949</v>
      </c>
      <c r="BR2487" t="s">
        <v>97</v>
      </c>
      <c r="BS2487" s="3">
        <v>45953</v>
      </c>
      <c r="BT2487" s="4">
        <v>0.60416666666666663</v>
      </c>
      <c r="BU2487" t="s">
        <v>950</v>
      </c>
      <c r="BV2487" t="s">
        <v>86</v>
      </c>
      <c r="BY2487">
        <v>1200</v>
      </c>
      <c r="CA2487" t="s">
        <v>951</v>
      </c>
      <c r="CC2487" t="s">
        <v>947</v>
      </c>
      <c r="CD2487">
        <v>6500</v>
      </c>
      <c r="CE2487" t="s">
        <v>147</v>
      </c>
      <c r="CF2487" s="3">
        <v>45954</v>
      </c>
      <c r="CI2487">
        <v>1</v>
      </c>
      <c r="CJ2487">
        <v>1</v>
      </c>
      <c r="CK2487">
        <v>23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"080068673019"</f>
        <v>080068673019</v>
      </c>
      <c r="F2488" s="3">
        <v>45952</v>
      </c>
      <c r="G2488">
        <v>202607</v>
      </c>
      <c r="H2488" t="s">
        <v>79</v>
      </c>
      <c r="I2488" t="s">
        <v>80</v>
      </c>
      <c r="J2488" t="s">
        <v>91</v>
      </c>
      <c r="K2488" t="s">
        <v>78</v>
      </c>
      <c r="L2488" t="s">
        <v>92</v>
      </c>
      <c r="M2488" t="s">
        <v>93</v>
      </c>
      <c r="N2488" t="s">
        <v>597</v>
      </c>
      <c r="O2488" t="s">
        <v>82</v>
      </c>
      <c r="P2488" t="str">
        <f>"4170065353                    "</f>
        <v xml:space="preserve">4170065353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22.36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70.959999999999994</v>
      </c>
      <c r="BM2488">
        <v>10.64</v>
      </c>
      <c r="BN2488">
        <v>81.599999999999994</v>
      </c>
      <c r="BO2488">
        <v>81.599999999999994</v>
      </c>
      <c r="BQ2488" t="s">
        <v>598</v>
      </c>
      <c r="BR2488" t="s">
        <v>97</v>
      </c>
      <c r="BS2488" s="3">
        <v>45953</v>
      </c>
      <c r="BT2488" s="4">
        <v>0.41736111111111113</v>
      </c>
      <c r="BU2488" t="s">
        <v>599</v>
      </c>
      <c r="BV2488" t="s">
        <v>86</v>
      </c>
      <c r="BY2488">
        <v>1200</v>
      </c>
      <c r="CA2488" t="s">
        <v>600</v>
      </c>
      <c r="CC2488" t="s">
        <v>93</v>
      </c>
      <c r="CD2488">
        <v>3201</v>
      </c>
      <c r="CE2488" t="s">
        <v>147</v>
      </c>
      <c r="CF2488" s="3">
        <v>45955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"080068673042"</f>
        <v>080068673042</v>
      </c>
      <c r="F2489" s="3">
        <v>45952</v>
      </c>
      <c r="G2489">
        <v>202607</v>
      </c>
      <c r="H2489" t="s">
        <v>79</v>
      </c>
      <c r="I2489" t="s">
        <v>80</v>
      </c>
      <c r="J2489" t="s">
        <v>91</v>
      </c>
      <c r="K2489" t="s">
        <v>78</v>
      </c>
      <c r="L2489" t="s">
        <v>265</v>
      </c>
      <c r="M2489" t="s">
        <v>266</v>
      </c>
      <c r="N2489" t="s">
        <v>2668</v>
      </c>
      <c r="O2489" t="s">
        <v>82</v>
      </c>
      <c r="P2489" t="str">
        <f>"4170065361                    "</f>
        <v xml:space="preserve">4170065361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22.36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70.959999999999994</v>
      </c>
      <c r="BM2489">
        <v>10.64</v>
      </c>
      <c r="BN2489">
        <v>81.599999999999994</v>
      </c>
      <c r="BO2489">
        <v>81.599999999999994</v>
      </c>
      <c r="BQ2489" t="s">
        <v>2669</v>
      </c>
      <c r="BR2489" t="s">
        <v>97</v>
      </c>
      <c r="BS2489" s="3">
        <v>45953</v>
      </c>
      <c r="BT2489" s="4">
        <v>0.3923611111111111</v>
      </c>
      <c r="BU2489" t="s">
        <v>3062</v>
      </c>
      <c r="BV2489" t="s">
        <v>86</v>
      </c>
      <c r="BY2489">
        <v>1200</v>
      </c>
      <c r="CA2489" t="s">
        <v>818</v>
      </c>
      <c r="CC2489" t="s">
        <v>266</v>
      </c>
      <c r="CD2489">
        <v>6229</v>
      </c>
      <c r="CE2489" t="s">
        <v>147</v>
      </c>
      <c r="CF2489" s="3">
        <v>45953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"080068673068"</f>
        <v>080068673068</v>
      </c>
      <c r="F2490" s="3">
        <v>45952</v>
      </c>
      <c r="G2490">
        <v>202607</v>
      </c>
      <c r="H2490" t="s">
        <v>79</v>
      </c>
      <c r="I2490" t="s">
        <v>80</v>
      </c>
      <c r="J2490" t="s">
        <v>91</v>
      </c>
      <c r="K2490" t="s">
        <v>78</v>
      </c>
      <c r="L2490" t="s">
        <v>206</v>
      </c>
      <c r="M2490" t="s">
        <v>207</v>
      </c>
      <c r="N2490" t="s">
        <v>412</v>
      </c>
      <c r="O2490" t="s">
        <v>82</v>
      </c>
      <c r="P2490" t="str">
        <f>"4170065391                    "</f>
        <v xml:space="preserve">4170065391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22.36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70.959999999999994</v>
      </c>
      <c r="BM2490">
        <v>10.64</v>
      </c>
      <c r="BN2490">
        <v>81.599999999999994</v>
      </c>
      <c r="BO2490">
        <v>81.599999999999994</v>
      </c>
      <c r="BQ2490" t="s">
        <v>413</v>
      </c>
      <c r="BR2490" t="s">
        <v>97</v>
      </c>
      <c r="BS2490" s="3">
        <v>45953</v>
      </c>
      <c r="BT2490" s="4">
        <v>0.34861111111111109</v>
      </c>
      <c r="BU2490" t="s">
        <v>2083</v>
      </c>
      <c r="BV2490" t="s">
        <v>86</v>
      </c>
      <c r="BY2490">
        <v>1200</v>
      </c>
      <c r="CA2490" t="s">
        <v>415</v>
      </c>
      <c r="CC2490" t="s">
        <v>207</v>
      </c>
      <c r="CD2490">
        <v>7493</v>
      </c>
      <c r="CE2490" t="s">
        <v>147</v>
      </c>
      <c r="CF2490" s="3">
        <v>45954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"080068673082"</f>
        <v>080068673082</v>
      </c>
      <c r="F2491" s="3">
        <v>45952</v>
      </c>
      <c r="G2491">
        <v>202607</v>
      </c>
      <c r="H2491" t="s">
        <v>79</v>
      </c>
      <c r="I2491" t="s">
        <v>80</v>
      </c>
      <c r="J2491" t="s">
        <v>91</v>
      </c>
      <c r="K2491" t="s">
        <v>78</v>
      </c>
      <c r="L2491" t="s">
        <v>206</v>
      </c>
      <c r="M2491" t="s">
        <v>207</v>
      </c>
      <c r="N2491" t="s">
        <v>477</v>
      </c>
      <c r="O2491" t="s">
        <v>82</v>
      </c>
      <c r="P2491" t="str">
        <f>"4170065437                    "</f>
        <v xml:space="preserve">4170065437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22.36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70.959999999999994</v>
      </c>
      <c r="BM2491">
        <v>10.64</v>
      </c>
      <c r="BN2491">
        <v>81.599999999999994</v>
      </c>
      <c r="BO2491">
        <v>81.599999999999994</v>
      </c>
      <c r="BQ2491" t="s">
        <v>478</v>
      </c>
      <c r="BR2491" t="s">
        <v>97</v>
      </c>
      <c r="BS2491" s="3">
        <v>45953</v>
      </c>
      <c r="BT2491" s="4">
        <v>0.47569444444444442</v>
      </c>
      <c r="BU2491" t="s">
        <v>3003</v>
      </c>
      <c r="BV2491" t="s">
        <v>90</v>
      </c>
      <c r="BW2491" t="s">
        <v>347</v>
      </c>
      <c r="BX2491" t="s">
        <v>1038</v>
      </c>
      <c r="BY2491">
        <v>1200</v>
      </c>
      <c r="CA2491" t="s">
        <v>480</v>
      </c>
      <c r="CC2491" t="s">
        <v>207</v>
      </c>
      <c r="CD2491">
        <v>7480</v>
      </c>
      <c r="CE2491" t="s">
        <v>147</v>
      </c>
      <c r="CF2491" s="3">
        <v>45954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"080068673110"</f>
        <v>080068673110</v>
      </c>
      <c r="F2492" s="3">
        <v>45952</v>
      </c>
      <c r="G2492">
        <v>202607</v>
      </c>
      <c r="H2492" t="s">
        <v>79</v>
      </c>
      <c r="I2492" t="s">
        <v>80</v>
      </c>
      <c r="J2492" t="s">
        <v>91</v>
      </c>
      <c r="K2492" t="s">
        <v>78</v>
      </c>
      <c r="L2492" t="s">
        <v>322</v>
      </c>
      <c r="M2492" t="s">
        <v>322</v>
      </c>
      <c r="N2492" t="s">
        <v>483</v>
      </c>
      <c r="O2492" t="s">
        <v>82</v>
      </c>
      <c r="P2492" t="str">
        <f>"4170065403                    "</f>
        <v xml:space="preserve">4170065403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43.31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137.47</v>
      </c>
      <c r="BM2492">
        <v>20.62</v>
      </c>
      <c r="BN2492">
        <v>158.09</v>
      </c>
      <c r="BO2492">
        <v>158.09</v>
      </c>
      <c r="BQ2492" t="s">
        <v>486</v>
      </c>
      <c r="BR2492" t="s">
        <v>97</v>
      </c>
      <c r="BS2492" s="3">
        <v>45953</v>
      </c>
      <c r="BT2492" s="4">
        <v>0.53611111111111109</v>
      </c>
      <c r="BU2492" t="s">
        <v>485</v>
      </c>
      <c r="BV2492" t="s">
        <v>86</v>
      </c>
      <c r="BY2492">
        <v>1200</v>
      </c>
      <c r="CA2492" t="s">
        <v>326</v>
      </c>
      <c r="CC2492" t="s">
        <v>322</v>
      </c>
      <c r="CD2492">
        <v>7646</v>
      </c>
      <c r="CE2492" t="s">
        <v>147</v>
      </c>
      <c r="CF2492" s="3">
        <v>45954</v>
      </c>
      <c r="CI2492">
        <v>1</v>
      </c>
      <c r="CJ2492">
        <v>1</v>
      </c>
      <c r="CK2492">
        <v>23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"080068673407"</f>
        <v>080068673407</v>
      </c>
      <c r="F2493" s="3">
        <v>45952</v>
      </c>
      <c r="G2493">
        <v>202607</v>
      </c>
      <c r="H2493" t="s">
        <v>79</v>
      </c>
      <c r="I2493" t="s">
        <v>80</v>
      </c>
      <c r="J2493" t="s">
        <v>91</v>
      </c>
      <c r="K2493" t="s">
        <v>78</v>
      </c>
      <c r="L2493" t="s">
        <v>271</v>
      </c>
      <c r="M2493" t="s">
        <v>272</v>
      </c>
      <c r="N2493" t="s">
        <v>443</v>
      </c>
      <c r="O2493" t="s">
        <v>82</v>
      </c>
      <c r="P2493" t="str">
        <f>"4170065510                    "</f>
        <v xml:space="preserve">4170065510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17.46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55.42</v>
      </c>
      <c r="BM2493">
        <v>8.31</v>
      </c>
      <c r="BN2493">
        <v>63.73</v>
      </c>
      <c r="BO2493">
        <v>63.73</v>
      </c>
      <c r="BQ2493" t="s">
        <v>444</v>
      </c>
      <c r="BR2493" t="s">
        <v>97</v>
      </c>
      <c r="BS2493" s="3">
        <v>45953</v>
      </c>
      <c r="BT2493" s="4">
        <v>0.42569444444444443</v>
      </c>
      <c r="BU2493" t="s">
        <v>460</v>
      </c>
      <c r="BV2493" t="s">
        <v>86</v>
      </c>
      <c r="BY2493">
        <v>1200</v>
      </c>
      <c r="CA2493" t="s">
        <v>661</v>
      </c>
      <c r="CC2493" t="s">
        <v>272</v>
      </c>
      <c r="CD2493">
        <v>1428</v>
      </c>
      <c r="CE2493" t="s">
        <v>147</v>
      </c>
      <c r="CF2493" s="3">
        <v>45954</v>
      </c>
      <c r="CI2493">
        <v>1</v>
      </c>
      <c r="CJ2493">
        <v>1</v>
      </c>
      <c r="CK2493">
        <v>22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"080068673443"</f>
        <v>080068673443</v>
      </c>
      <c r="F2494" s="3">
        <v>45952</v>
      </c>
      <c r="G2494">
        <v>202607</v>
      </c>
      <c r="H2494" t="s">
        <v>79</v>
      </c>
      <c r="I2494" t="s">
        <v>80</v>
      </c>
      <c r="J2494" t="s">
        <v>91</v>
      </c>
      <c r="K2494" t="s">
        <v>78</v>
      </c>
      <c r="L2494" t="s">
        <v>79</v>
      </c>
      <c r="M2494" t="s">
        <v>80</v>
      </c>
      <c r="N2494" t="s">
        <v>3063</v>
      </c>
      <c r="O2494" t="s">
        <v>226</v>
      </c>
      <c r="P2494" t="str">
        <f>"4170065515                    "</f>
        <v xml:space="preserve">4170065515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17.47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</v>
      </c>
      <c r="BJ2494">
        <v>5.9</v>
      </c>
      <c r="BK2494">
        <v>6</v>
      </c>
      <c r="BL2494">
        <v>55.44</v>
      </c>
      <c r="BM2494">
        <v>8.32</v>
      </c>
      <c r="BN2494">
        <v>63.76</v>
      </c>
      <c r="BO2494">
        <v>63.76</v>
      </c>
      <c r="BQ2494" t="s">
        <v>3064</v>
      </c>
      <c r="BR2494" t="s">
        <v>97</v>
      </c>
      <c r="BS2494" s="3">
        <v>45953</v>
      </c>
      <c r="BT2494" s="4">
        <v>0.34722222222222221</v>
      </c>
      <c r="BU2494" t="s">
        <v>3065</v>
      </c>
      <c r="BV2494" t="s">
        <v>86</v>
      </c>
      <c r="BY2494">
        <v>29700</v>
      </c>
      <c r="CA2494" t="s">
        <v>419</v>
      </c>
      <c r="CC2494" t="s">
        <v>80</v>
      </c>
      <c r="CD2494">
        <v>1665</v>
      </c>
      <c r="CE2494" t="s">
        <v>107</v>
      </c>
      <c r="CF2494" s="3">
        <v>45954</v>
      </c>
      <c r="CI2494">
        <v>1</v>
      </c>
      <c r="CJ2494">
        <v>1</v>
      </c>
      <c r="CK2494">
        <v>32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"080068673444"</f>
        <v>080068673444</v>
      </c>
      <c r="F2495" s="3">
        <v>45952</v>
      </c>
      <c r="G2495">
        <v>202607</v>
      </c>
      <c r="H2495" t="s">
        <v>79</v>
      </c>
      <c r="I2495" t="s">
        <v>80</v>
      </c>
      <c r="J2495" t="s">
        <v>91</v>
      </c>
      <c r="K2495" t="s">
        <v>78</v>
      </c>
      <c r="L2495" t="s">
        <v>322</v>
      </c>
      <c r="M2495" t="s">
        <v>322</v>
      </c>
      <c r="N2495" t="s">
        <v>1267</v>
      </c>
      <c r="O2495" t="s">
        <v>82</v>
      </c>
      <c r="P2495" t="str">
        <f>"4170065436                    "</f>
        <v xml:space="preserve">4170065436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43.31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137.47</v>
      </c>
      <c r="BM2495">
        <v>20.62</v>
      </c>
      <c r="BN2495">
        <v>158.09</v>
      </c>
      <c r="BO2495">
        <v>158.09</v>
      </c>
      <c r="BQ2495" t="s">
        <v>1268</v>
      </c>
      <c r="BR2495" t="s">
        <v>97</v>
      </c>
      <c r="BS2495" s="3">
        <v>45953</v>
      </c>
      <c r="BT2495" s="4">
        <v>0.49513888888888891</v>
      </c>
      <c r="BU2495" t="s">
        <v>3066</v>
      </c>
      <c r="BV2495" t="s">
        <v>86</v>
      </c>
      <c r="BY2495">
        <v>1200</v>
      </c>
      <c r="CA2495" t="s">
        <v>1270</v>
      </c>
      <c r="CC2495" t="s">
        <v>322</v>
      </c>
      <c r="CD2495">
        <v>7655</v>
      </c>
      <c r="CE2495" t="s">
        <v>147</v>
      </c>
      <c r="CF2495" s="3">
        <v>45954</v>
      </c>
      <c r="CI2495">
        <v>1</v>
      </c>
      <c r="CJ2495">
        <v>1</v>
      </c>
      <c r="CK2495">
        <v>23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"080068673500"</f>
        <v>080068673500</v>
      </c>
      <c r="F2496" s="3">
        <v>45952</v>
      </c>
      <c r="G2496">
        <v>202607</v>
      </c>
      <c r="H2496" t="s">
        <v>79</v>
      </c>
      <c r="I2496" t="s">
        <v>80</v>
      </c>
      <c r="J2496" t="s">
        <v>91</v>
      </c>
      <c r="K2496" t="s">
        <v>78</v>
      </c>
      <c r="L2496" t="s">
        <v>246</v>
      </c>
      <c r="M2496" t="s">
        <v>247</v>
      </c>
      <c r="N2496" t="s">
        <v>2893</v>
      </c>
      <c r="O2496" t="s">
        <v>82</v>
      </c>
      <c r="P2496" t="str">
        <f>"4170065517                    "</f>
        <v xml:space="preserve">4170065517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43.31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16.739999999999998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154.21</v>
      </c>
      <c r="BM2496">
        <v>23.13</v>
      </c>
      <c r="BN2496">
        <v>177.34</v>
      </c>
      <c r="BO2496">
        <v>177.34</v>
      </c>
      <c r="BQ2496" t="s">
        <v>2894</v>
      </c>
      <c r="BR2496" t="s">
        <v>97</v>
      </c>
      <c r="BS2496" s="3">
        <v>45953</v>
      </c>
      <c r="BT2496" s="4">
        <v>0.52777777777777779</v>
      </c>
      <c r="BU2496" t="s">
        <v>3067</v>
      </c>
      <c r="BV2496" t="s">
        <v>86</v>
      </c>
      <c r="BY2496">
        <v>1200</v>
      </c>
      <c r="BZ2496" t="s">
        <v>30</v>
      </c>
      <c r="CC2496" t="s">
        <v>247</v>
      </c>
      <c r="CD2496" s="5" t="s">
        <v>2896</v>
      </c>
      <c r="CE2496" t="s">
        <v>147</v>
      </c>
      <c r="CF2496" s="3">
        <v>45954</v>
      </c>
      <c r="CI2496">
        <v>1</v>
      </c>
      <c r="CJ2496">
        <v>1</v>
      </c>
      <c r="CK2496">
        <v>23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"080068673514"</f>
        <v>080068673514</v>
      </c>
      <c r="F2497" s="3">
        <v>45952</v>
      </c>
      <c r="G2497">
        <v>202607</v>
      </c>
      <c r="H2497" t="s">
        <v>79</v>
      </c>
      <c r="I2497" t="s">
        <v>80</v>
      </c>
      <c r="J2497" t="s">
        <v>91</v>
      </c>
      <c r="K2497" t="s">
        <v>78</v>
      </c>
      <c r="L2497" t="s">
        <v>79</v>
      </c>
      <c r="M2497" t="s">
        <v>80</v>
      </c>
      <c r="N2497" t="s">
        <v>2385</v>
      </c>
      <c r="O2497" t="s">
        <v>226</v>
      </c>
      <c r="P2497" t="str">
        <f>"4170065471                    "</f>
        <v xml:space="preserve">4170065471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17.47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8</v>
      </c>
      <c r="BJ2497">
        <v>3.4</v>
      </c>
      <c r="BK2497">
        <v>8</v>
      </c>
      <c r="BL2497">
        <v>55.44</v>
      </c>
      <c r="BM2497">
        <v>8.32</v>
      </c>
      <c r="BN2497">
        <v>63.76</v>
      </c>
      <c r="BO2497">
        <v>63.76</v>
      </c>
      <c r="BQ2497" t="s">
        <v>2386</v>
      </c>
      <c r="BR2497" t="s">
        <v>97</v>
      </c>
      <c r="BS2497" s="3">
        <v>45953</v>
      </c>
      <c r="BT2497" s="4">
        <v>0.34930555555555554</v>
      </c>
      <c r="BU2497" t="s">
        <v>3068</v>
      </c>
      <c r="BV2497" t="s">
        <v>86</v>
      </c>
      <c r="BY2497">
        <v>16965</v>
      </c>
      <c r="CA2497" t="s">
        <v>88</v>
      </c>
      <c r="CC2497" t="s">
        <v>80</v>
      </c>
      <c r="CD2497">
        <v>1600</v>
      </c>
      <c r="CE2497" t="s">
        <v>191</v>
      </c>
      <c r="CF2497" s="3">
        <v>45953</v>
      </c>
      <c r="CI2497">
        <v>1</v>
      </c>
      <c r="CJ2497">
        <v>1</v>
      </c>
      <c r="CK2497">
        <v>32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"080068673561"</f>
        <v>080068673561</v>
      </c>
      <c r="F2498" s="3">
        <v>45952</v>
      </c>
      <c r="G2498">
        <v>202607</v>
      </c>
      <c r="H2498" t="s">
        <v>79</v>
      </c>
      <c r="I2498" t="s">
        <v>80</v>
      </c>
      <c r="J2498" t="s">
        <v>91</v>
      </c>
      <c r="K2498" t="s">
        <v>78</v>
      </c>
      <c r="L2498" t="s">
        <v>453</v>
      </c>
      <c r="M2498" t="s">
        <v>454</v>
      </c>
      <c r="N2498" t="s">
        <v>581</v>
      </c>
      <c r="O2498" t="s">
        <v>82</v>
      </c>
      <c r="P2498" t="str">
        <f>"4170065476                    "</f>
        <v xml:space="preserve">4170065476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22.36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70.959999999999994</v>
      </c>
      <c r="BM2498">
        <v>10.64</v>
      </c>
      <c r="BN2498">
        <v>81.599999999999994</v>
      </c>
      <c r="BO2498">
        <v>81.599999999999994</v>
      </c>
      <c r="BQ2498" t="s">
        <v>582</v>
      </c>
      <c r="BR2498" t="s">
        <v>97</v>
      </c>
      <c r="BS2498" s="3">
        <v>45953</v>
      </c>
      <c r="BT2498" s="4">
        <v>0.44374999999999998</v>
      </c>
      <c r="BU2498" t="s">
        <v>3069</v>
      </c>
      <c r="BV2498" t="s">
        <v>86</v>
      </c>
      <c r="BY2498">
        <v>1200</v>
      </c>
      <c r="CA2498" t="s">
        <v>742</v>
      </c>
      <c r="CC2498" t="s">
        <v>454</v>
      </c>
      <c r="CD2498">
        <v>3610</v>
      </c>
      <c r="CE2498" t="s">
        <v>147</v>
      </c>
      <c r="CF2498" s="3">
        <v>45953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"080068673545"</f>
        <v>080068673545</v>
      </c>
      <c r="F2499" s="3">
        <v>45952</v>
      </c>
      <c r="G2499">
        <v>202607</v>
      </c>
      <c r="H2499" t="s">
        <v>79</v>
      </c>
      <c r="I2499" t="s">
        <v>80</v>
      </c>
      <c r="J2499" t="s">
        <v>91</v>
      </c>
      <c r="K2499" t="s">
        <v>78</v>
      </c>
      <c r="L2499" t="s">
        <v>92</v>
      </c>
      <c r="M2499" t="s">
        <v>93</v>
      </c>
      <c r="N2499" t="s">
        <v>2047</v>
      </c>
      <c r="O2499" t="s">
        <v>82</v>
      </c>
      <c r="P2499" t="str">
        <f>"4170065506                    "</f>
        <v xml:space="preserve">4170065506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122.88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11</v>
      </c>
      <c r="BJ2499">
        <v>3.4</v>
      </c>
      <c r="BK2499">
        <v>11</v>
      </c>
      <c r="BL2499">
        <v>390</v>
      </c>
      <c r="BM2499">
        <v>58.5</v>
      </c>
      <c r="BN2499">
        <v>448.5</v>
      </c>
      <c r="BO2499">
        <v>448.5</v>
      </c>
      <c r="BQ2499" t="s">
        <v>2048</v>
      </c>
      <c r="BR2499" t="s">
        <v>97</v>
      </c>
      <c r="BS2499" s="3">
        <v>45953</v>
      </c>
      <c r="BT2499" s="4">
        <v>0.47222222222222221</v>
      </c>
      <c r="BU2499" t="s">
        <v>3070</v>
      </c>
      <c r="BV2499" t="s">
        <v>86</v>
      </c>
      <c r="BY2499">
        <v>16965</v>
      </c>
      <c r="CC2499" t="s">
        <v>93</v>
      </c>
      <c r="CD2499">
        <v>3212</v>
      </c>
      <c r="CE2499" t="s">
        <v>191</v>
      </c>
      <c r="CF2499" s="3">
        <v>45954</v>
      </c>
      <c r="CI2499">
        <v>2</v>
      </c>
      <c r="CJ2499">
        <v>1</v>
      </c>
      <c r="CK2499">
        <v>21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"080068673597"</f>
        <v>080068673597</v>
      </c>
      <c r="F2500" s="3">
        <v>45952</v>
      </c>
      <c r="G2500">
        <v>202607</v>
      </c>
      <c r="H2500" t="s">
        <v>79</v>
      </c>
      <c r="I2500" t="s">
        <v>80</v>
      </c>
      <c r="J2500" t="s">
        <v>91</v>
      </c>
      <c r="K2500" t="s">
        <v>78</v>
      </c>
      <c r="L2500" t="s">
        <v>79</v>
      </c>
      <c r="M2500" t="s">
        <v>80</v>
      </c>
      <c r="N2500" t="s">
        <v>357</v>
      </c>
      <c r="O2500" t="s">
        <v>82</v>
      </c>
      <c r="P2500" t="str">
        <f>"4170065409                    "</f>
        <v xml:space="preserve">4170065409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17.46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55.42</v>
      </c>
      <c r="BM2500">
        <v>8.31</v>
      </c>
      <c r="BN2500">
        <v>63.73</v>
      </c>
      <c r="BO2500">
        <v>63.73</v>
      </c>
      <c r="BQ2500" t="s">
        <v>358</v>
      </c>
      <c r="BR2500" t="s">
        <v>97</v>
      </c>
      <c r="BS2500" s="3">
        <v>45953</v>
      </c>
      <c r="BT2500" s="4">
        <v>0.4375</v>
      </c>
      <c r="BU2500" t="s">
        <v>2342</v>
      </c>
      <c r="BV2500" t="s">
        <v>86</v>
      </c>
      <c r="BY2500">
        <v>1200</v>
      </c>
      <c r="CC2500" t="s">
        <v>80</v>
      </c>
      <c r="CD2500">
        <v>1645</v>
      </c>
      <c r="CE2500" t="s">
        <v>147</v>
      </c>
      <c r="CF2500" s="3">
        <v>45954</v>
      </c>
      <c r="CI2500">
        <v>1</v>
      </c>
      <c r="CJ2500">
        <v>1</v>
      </c>
      <c r="CK2500">
        <v>22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"080068673603"</f>
        <v>080068673603</v>
      </c>
      <c r="F2501" s="3">
        <v>45952</v>
      </c>
      <c r="G2501">
        <v>202607</v>
      </c>
      <c r="H2501" t="s">
        <v>79</v>
      </c>
      <c r="I2501" t="s">
        <v>80</v>
      </c>
      <c r="J2501" t="s">
        <v>91</v>
      </c>
      <c r="K2501" t="s">
        <v>78</v>
      </c>
      <c r="L2501" t="s">
        <v>148</v>
      </c>
      <c r="M2501" t="s">
        <v>149</v>
      </c>
      <c r="N2501" t="s">
        <v>465</v>
      </c>
      <c r="O2501" t="s">
        <v>226</v>
      </c>
      <c r="P2501" t="str">
        <f>"4170065400                    "</f>
        <v xml:space="preserve">4170065400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17.47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6</v>
      </c>
      <c r="BJ2501">
        <v>3.4</v>
      </c>
      <c r="BK2501">
        <v>6</v>
      </c>
      <c r="BL2501">
        <v>55.44</v>
      </c>
      <c r="BM2501">
        <v>8.32</v>
      </c>
      <c r="BN2501">
        <v>63.76</v>
      </c>
      <c r="BO2501">
        <v>63.76</v>
      </c>
      <c r="BQ2501" t="s">
        <v>466</v>
      </c>
      <c r="BR2501" t="s">
        <v>97</v>
      </c>
      <c r="BS2501" s="3">
        <v>45953</v>
      </c>
      <c r="BT2501" s="4">
        <v>0.41666666666666669</v>
      </c>
      <c r="BU2501" t="s">
        <v>1536</v>
      </c>
      <c r="BV2501" t="s">
        <v>86</v>
      </c>
      <c r="BY2501">
        <v>16965</v>
      </c>
      <c r="CA2501" t="s">
        <v>2853</v>
      </c>
      <c r="CC2501" t="s">
        <v>149</v>
      </c>
      <c r="CD2501">
        <v>2094</v>
      </c>
      <c r="CE2501" t="s">
        <v>191</v>
      </c>
      <c r="CF2501" s="3">
        <v>45954</v>
      </c>
      <c r="CI2501">
        <v>1</v>
      </c>
      <c r="CJ2501">
        <v>1</v>
      </c>
      <c r="CK2501">
        <v>32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"080068673648"</f>
        <v>080068673648</v>
      </c>
      <c r="F2502" s="3">
        <v>45952</v>
      </c>
      <c r="G2502">
        <v>202607</v>
      </c>
      <c r="H2502" t="s">
        <v>79</v>
      </c>
      <c r="I2502" t="s">
        <v>80</v>
      </c>
      <c r="J2502" t="s">
        <v>91</v>
      </c>
      <c r="K2502" t="s">
        <v>78</v>
      </c>
      <c r="L2502" t="s">
        <v>148</v>
      </c>
      <c r="M2502" t="s">
        <v>149</v>
      </c>
      <c r="N2502" t="s">
        <v>2936</v>
      </c>
      <c r="O2502" t="s">
        <v>82</v>
      </c>
      <c r="P2502" t="str">
        <f>"4170065443                    "</f>
        <v xml:space="preserve">4170065443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22.36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16.739999999999998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87.7</v>
      </c>
      <c r="BM2502">
        <v>13.16</v>
      </c>
      <c r="BN2502">
        <v>100.86</v>
      </c>
      <c r="BO2502">
        <v>100.86</v>
      </c>
      <c r="BQ2502" t="s">
        <v>2937</v>
      </c>
      <c r="BR2502" t="s">
        <v>97</v>
      </c>
      <c r="BS2502" s="3">
        <v>45953</v>
      </c>
      <c r="BT2502" s="4">
        <v>0.59166666666666667</v>
      </c>
      <c r="BU2502" t="s">
        <v>3071</v>
      </c>
      <c r="BV2502" t="s">
        <v>86</v>
      </c>
      <c r="BY2502">
        <v>1200</v>
      </c>
      <c r="BZ2502" t="s">
        <v>30</v>
      </c>
      <c r="CA2502" t="s">
        <v>146</v>
      </c>
      <c r="CC2502" t="s">
        <v>149</v>
      </c>
      <c r="CD2502">
        <v>1821</v>
      </c>
      <c r="CE2502" t="s">
        <v>147</v>
      </c>
      <c r="CF2502" s="3">
        <v>45954</v>
      </c>
      <c r="CI2502">
        <v>0</v>
      </c>
      <c r="CJ2502">
        <v>0</v>
      </c>
      <c r="CK2502">
        <v>21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"080068673650"</f>
        <v>080068673650</v>
      </c>
      <c r="F2503" s="3">
        <v>45952</v>
      </c>
      <c r="G2503">
        <v>202607</v>
      </c>
      <c r="H2503" t="s">
        <v>79</v>
      </c>
      <c r="I2503" t="s">
        <v>80</v>
      </c>
      <c r="J2503" t="s">
        <v>91</v>
      </c>
      <c r="K2503" t="s">
        <v>78</v>
      </c>
      <c r="L2503" t="s">
        <v>223</v>
      </c>
      <c r="M2503" t="s">
        <v>224</v>
      </c>
      <c r="N2503" t="s">
        <v>505</v>
      </c>
      <c r="O2503" t="s">
        <v>82</v>
      </c>
      <c r="P2503" t="str">
        <f>"4170065384                    "</f>
        <v xml:space="preserve">4170065384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17.46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1.1000000000000001</v>
      </c>
      <c r="BK2503">
        <v>2</v>
      </c>
      <c r="BL2503">
        <v>55.42</v>
      </c>
      <c r="BM2503">
        <v>8.31</v>
      </c>
      <c r="BN2503">
        <v>63.73</v>
      </c>
      <c r="BO2503">
        <v>63.73</v>
      </c>
      <c r="BQ2503" t="s">
        <v>506</v>
      </c>
      <c r="BR2503" t="s">
        <v>97</v>
      </c>
      <c r="BS2503" s="3">
        <v>45953</v>
      </c>
      <c r="BT2503" s="4">
        <v>0.32361111111111113</v>
      </c>
      <c r="BU2503" t="s">
        <v>507</v>
      </c>
      <c r="BV2503" t="s">
        <v>86</v>
      </c>
      <c r="BY2503">
        <v>5510</v>
      </c>
      <c r="CA2503" t="s">
        <v>508</v>
      </c>
      <c r="CC2503" t="s">
        <v>224</v>
      </c>
      <c r="CD2503">
        <v>1459</v>
      </c>
      <c r="CE2503" t="s">
        <v>191</v>
      </c>
      <c r="CF2503" s="3">
        <v>45953</v>
      </c>
      <c r="CI2503">
        <v>1</v>
      </c>
      <c r="CJ2503">
        <v>1</v>
      </c>
      <c r="CK2503">
        <v>22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"080068673689"</f>
        <v>080068673689</v>
      </c>
      <c r="F2504" s="3">
        <v>45952</v>
      </c>
      <c r="G2504">
        <v>202607</v>
      </c>
      <c r="H2504" t="s">
        <v>79</v>
      </c>
      <c r="I2504" t="s">
        <v>80</v>
      </c>
      <c r="J2504" t="s">
        <v>91</v>
      </c>
      <c r="K2504" t="s">
        <v>78</v>
      </c>
      <c r="L2504" t="s">
        <v>121</v>
      </c>
      <c r="M2504" t="s">
        <v>122</v>
      </c>
      <c r="N2504" t="s">
        <v>123</v>
      </c>
      <c r="O2504" t="s">
        <v>82</v>
      </c>
      <c r="P2504" t="str">
        <f>"4170065463                    "</f>
        <v xml:space="preserve">4170065463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22.36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1.1000000000000001</v>
      </c>
      <c r="BK2504">
        <v>1.5</v>
      </c>
      <c r="BL2504">
        <v>70.959999999999994</v>
      </c>
      <c r="BM2504">
        <v>10.64</v>
      </c>
      <c r="BN2504">
        <v>81.599999999999994</v>
      </c>
      <c r="BO2504">
        <v>81.599999999999994</v>
      </c>
      <c r="BQ2504" t="s">
        <v>124</v>
      </c>
      <c r="BR2504" t="s">
        <v>97</v>
      </c>
      <c r="BS2504" s="3">
        <v>45953</v>
      </c>
      <c r="BT2504" s="4">
        <v>0.33680555555555558</v>
      </c>
      <c r="BU2504" t="s">
        <v>125</v>
      </c>
      <c r="BV2504" t="s">
        <v>86</v>
      </c>
      <c r="BY2504">
        <v>5510</v>
      </c>
      <c r="CA2504" t="s">
        <v>126</v>
      </c>
      <c r="CC2504" t="s">
        <v>122</v>
      </c>
      <c r="CD2504">
        <v>4051</v>
      </c>
      <c r="CE2504" t="s">
        <v>191</v>
      </c>
      <c r="CF2504" s="3">
        <v>45953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"080068673696"</f>
        <v>080068673696</v>
      </c>
      <c r="F2505" s="3">
        <v>45952</v>
      </c>
      <c r="G2505">
        <v>202607</v>
      </c>
      <c r="H2505" t="s">
        <v>79</v>
      </c>
      <c r="I2505" t="s">
        <v>80</v>
      </c>
      <c r="J2505" t="s">
        <v>91</v>
      </c>
      <c r="K2505" t="s">
        <v>78</v>
      </c>
      <c r="L2505" t="s">
        <v>1765</v>
      </c>
      <c r="M2505" t="s">
        <v>1766</v>
      </c>
      <c r="N2505" t="s">
        <v>3072</v>
      </c>
      <c r="O2505" t="s">
        <v>82</v>
      </c>
      <c r="P2505" t="str">
        <f>"4170065449                    "</f>
        <v xml:space="preserve">4170065449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43.31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137.47</v>
      </c>
      <c r="BM2505">
        <v>20.62</v>
      </c>
      <c r="BN2505">
        <v>158.09</v>
      </c>
      <c r="BO2505">
        <v>158.09</v>
      </c>
      <c r="BQ2505" t="s">
        <v>3073</v>
      </c>
      <c r="BR2505" t="s">
        <v>97</v>
      </c>
      <c r="BS2505" s="3">
        <v>45953</v>
      </c>
      <c r="BT2505" s="4">
        <v>0.56319444444444444</v>
      </c>
      <c r="BU2505" t="s">
        <v>3074</v>
      </c>
      <c r="BV2505" t="s">
        <v>90</v>
      </c>
      <c r="BY2505">
        <v>1200</v>
      </c>
      <c r="CA2505" t="s">
        <v>1770</v>
      </c>
      <c r="CC2505" t="s">
        <v>1766</v>
      </c>
      <c r="CD2505">
        <v>1034</v>
      </c>
      <c r="CE2505" t="s">
        <v>147</v>
      </c>
      <c r="CF2505" s="3">
        <v>45954</v>
      </c>
      <c r="CI2505">
        <v>1</v>
      </c>
      <c r="CJ2505">
        <v>1</v>
      </c>
      <c r="CK2505">
        <v>23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"080068673729"</f>
        <v>080068673729</v>
      </c>
      <c r="F2506" s="3">
        <v>45952</v>
      </c>
      <c r="G2506">
        <v>202607</v>
      </c>
      <c r="H2506" t="s">
        <v>79</v>
      </c>
      <c r="I2506" t="s">
        <v>80</v>
      </c>
      <c r="J2506" t="s">
        <v>91</v>
      </c>
      <c r="K2506" t="s">
        <v>78</v>
      </c>
      <c r="L2506" t="s">
        <v>168</v>
      </c>
      <c r="M2506" t="s">
        <v>169</v>
      </c>
      <c r="N2506" t="s">
        <v>2663</v>
      </c>
      <c r="O2506" t="s">
        <v>82</v>
      </c>
      <c r="P2506" t="str">
        <f>"4170065433                    "</f>
        <v xml:space="preserve">4170065433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22.36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70.959999999999994</v>
      </c>
      <c r="BM2506">
        <v>10.64</v>
      </c>
      <c r="BN2506">
        <v>81.599999999999994</v>
      </c>
      <c r="BO2506">
        <v>81.599999999999994</v>
      </c>
      <c r="BQ2506" t="s">
        <v>2664</v>
      </c>
      <c r="BR2506" t="s">
        <v>97</v>
      </c>
      <c r="BS2506" s="3">
        <v>45953</v>
      </c>
      <c r="BT2506" s="4">
        <v>0.36458333333333331</v>
      </c>
      <c r="BU2506" t="s">
        <v>2665</v>
      </c>
      <c r="BV2506" t="s">
        <v>86</v>
      </c>
      <c r="BY2506">
        <v>1200</v>
      </c>
      <c r="CA2506">
        <v>9501025667088</v>
      </c>
      <c r="CC2506" t="s">
        <v>169</v>
      </c>
      <c r="CD2506" s="5" t="s">
        <v>2666</v>
      </c>
      <c r="CE2506" t="s">
        <v>147</v>
      </c>
      <c r="CF2506" s="3">
        <v>45953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"080068673742"</f>
        <v>080068673742</v>
      </c>
      <c r="F2507" s="3">
        <v>45952</v>
      </c>
      <c r="G2507">
        <v>202607</v>
      </c>
      <c r="H2507" t="s">
        <v>79</v>
      </c>
      <c r="I2507" t="s">
        <v>80</v>
      </c>
      <c r="J2507" t="s">
        <v>91</v>
      </c>
      <c r="K2507" t="s">
        <v>78</v>
      </c>
      <c r="L2507" t="s">
        <v>108</v>
      </c>
      <c r="M2507" t="s">
        <v>109</v>
      </c>
      <c r="N2507" t="s">
        <v>440</v>
      </c>
      <c r="O2507" t="s">
        <v>82</v>
      </c>
      <c r="P2507" t="str">
        <f>"4170065354                    "</f>
        <v xml:space="preserve">4170065354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22.36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1.3</v>
      </c>
      <c r="BK2507">
        <v>1.5</v>
      </c>
      <c r="BL2507">
        <v>70.959999999999994</v>
      </c>
      <c r="BM2507">
        <v>10.64</v>
      </c>
      <c r="BN2507">
        <v>81.599999999999994</v>
      </c>
      <c r="BO2507">
        <v>81.599999999999994</v>
      </c>
      <c r="BQ2507" t="s">
        <v>441</v>
      </c>
      <c r="BR2507" t="s">
        <v>97</v>
      </c>
      <c r="BS2507" s="3">
        <v>45953</v>
      </c>
      <c r="BT2507" s="4">
        <v>0.40833333333333333</v>
      </c>
      <c r="BU2507" t="s">
        <v>2995</v>
      </c>
      <c r="BV2507" t="s">
        <v>86</v>
      </c>
      <c r="BY2507">
        <v>6612</v>
      </c>
      <c r="CA2507" t="s">
        <v>113</v>
      </c>
      <c r="CC2507" t="s">
        <v>109</v>
      </c>
      <c r="CD2507">
        <v>6001</v>
      </c>
      <c r="CE2507" t="s">
        <v>191</v>
      </c>
      <c r="CF2507" s="3">
        <v>45953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"080068673766"</f>
        <v>080068673766</v>
      </c>
      <c r="F2508" s="3">
        <v>45952</v>
      </c>
      <c r="G2508">
        <v>202607</v>
      </c>
      <c r="H2508" t="s">
        <v>79</v>
      </c>
      <c r="I2508" t="s">
        <v>80</v>
      </c>
      <c r="J2508" t="s">
        <v>91</v>
      </c>
      <c r="K2508" t="s">
        <v>78</v>
      </c>
      <c r="L2508" t="s">
        <v>1095</v>
      </c>
      <c r="M2508" t="s">
        <v>1096</v>
      </c>
      <c r="N2508" t="s">
        <v>1197</v>
      </c>
      <c r="O2508" t="s">
        <v>82</v>
      </c>
      <c r="P2508" t="str">
        <f>"4170065378                    "</f>
        <v xml:space="preserve">4170065378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43.31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137.47</v>
      </c>
      <c r="BM2508">
        <v>20.62</v>
      </c>
      <c r="BN2508">
        <v>158.09</v>
      </c>
      <c r="BO2508">
        <v>158.09</v>
      </c>
      <c r="BQ2508" t="s">
        <v>1198</v>
      </c>
      <c r="BR2508" t="s">
        <v>97</v>
      </c>
      <c r="BS2508" s="3">
        <v>45953</v>
      </c>
      <c r="BT2508" s="4">
        <v>0.43402777777777779</v>
      </c>
      <c r="BU2508" t="s">
        <v>3075</v>
      </c>
      <c r="BV2508" t="s">
        <v>86</v>
      </c>
      <c r="BY2508">
        <v>1200</v>
      </c>
      <c r="CA2508" t="s">
        <v>3076</v>
      </c>
      <c r="CC2508" t="s">
        <v>1096</v>
      </c>
      <c r="CD2508">
        <v>2302</v>
      </c>
      <c r="CE2508" t="s">
        <v>147</v>
      </c>
      <c r="CF2508" s="3">
        <v>45954</v>
      </c>
      <c r="CI2508">
        <v>1</v>
      </c>
      <c r="CJ2508">
        <v>1</v>
      </c>
      <c r="CK2508">
        <v>23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"080068673783"</f>
        <v>080068673783</v>
      </c>
      <c r="F2509" s="3">
        <v>45952</v>
      </c>
      <c r="G2509">
        <v>202607</v>
      </c>
      <c r="H2509" t="s">
        <v>79</v>
      </c>
      <c r="I2509" t="s">
        <v>80</v>
      </c>
      <c r="J2509" t="s">
        <v>91</v>
      </c>
      <c r="K2509" t="s">
        <v>78</v>
      </c>
      <c r="L2509" t="s">
        <v>605</v>
      </c>
      <c r="M2509" t="s">
        <v>606</v>
      </c>
      <c r="N2509" t="s">
        <v>976</v>
      </c>
      <c r="O2509" t="s">
        <v>82</v>
      </c>
      <c r="P2509" t="str">
        <f>"4170065447                    "</f>
        <v xml:space="preserve">4170065447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43.31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1.1000000000000001</v>
      </c>
      <c r="BK2509">
        <v>1.5</v>
      </c>
      <c r="BL2509">
        <v>137.47</v>
      </c>
      <c r="BM2509">
        <v>20.62</v>
      </c>
      <c r="BN2509">
        <v>158.09</v>
      </c>
      <c r="BO2509">
        <v>158.09</v>
      </c>
      <c r="BQ2509" t="s">
        <v>977</v>
      </c>
      <c r="BR2509" t="s">
        <v>97</v>
      </c>
      <c r="BS2509" s="3">
        <v>45954</v>
      </c>
      <c r="BT2509" s="4">
        <v>0.43402777777777779</v>
      </c>
      <c r="BU2509" t="s">
        <v>3077</v>
      </c>
      <c r="BV2509" t="s">
        <v>90</v>
      </c>
      <c r="BW2509" t="s">
        <v>731</v>
      </c>
      <c r="BX2509" t="s">
        <v>903</v>
      </c>
      <c r="BY2509">
        <v>5320</v>
      </c>
      <c r="CA2509" t="s">
        <v>1143</v>
      </c>
      <c r="CC2509" t="s">
        <v>606</v>
      </c>
      <c r="CD2509">
        <v>1947</v>
      </c>
      <c r="CE2509" t="s">
        <v>191</v>
      </c>
      <c r="CF2509" s="3">
        <v>45957</v>
      </c>
      <c r="CI2509">
        <v>1</v>
      </c>
      <c r="CJ2509">
        <v>2</v>
      </c>
      <c r="CK2509">
        <v>23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"080068673791"</f>
        <v>080068673791</v>
      </c>
      <c r="F2510" s="3">
        <v>45952</v>
      </c>
      <c r="G2510">
        <v>202607</v>
      </c>
      <c r="H2510" t="s">
        <v>79</v>
      </c>
      <c r="I2510" t="s">
        <v>80</v>
      </c>
      <c r="J2510" t="s">
        <v>91</v>
      </c>
      <c r="K2510" t="s">
        <v>78</v>
      </c>
      <c r="L2510" t="s">
        <v>121</v>
      </c>
      <c r="M2510" t="s">
        <v>122</v>
      </c>
      <c r="N2510" t="s">
        <v>123</v>
      </c>
      <c r="O2510" t="s">
        <v>82</v>
      </c>
      <c r="P2510" t="str">
        <f>"4170065453                    "</f>
        <v xml:space="preserve">4170065453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22.36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70.959999999999994</v>
      </c>
      <c r="BM2510">
        <v>10.64</v>
      </c>
      <c r="BN2510">
        <v>81.599999999999994</v>
      </c>
      <c r="BO2510">
        <v>81.599999999999994</v>
      </c>
      <c r="BQ2510" t="s">
        <v>124</v>
      </c>
      <c r="BR2510" t="s">
        <v>97</v>
      </c>
      <c r="BS2510" s="3">
        <v>45953</v>
      </c>
      <c r="BT2510" s="4">
        <v>0.33680555555555558</v>
      </c>
      <c r="BU2510" t="s">
        <v>125</v>
      </c>
      <c r="BV2510" t="s">
        <v>86</v>
      </c>
      <c r="BY2510">
        <v>1200</v>
      </c>
      <c r="CA2510" t="s">
        <v>126</v>
      </c>
      <c r="CC2510" t="s">
        <v>122</v>
      </c>
      <c r="CD2510">
        <v>4000</v>
      </c>
      <c r="CE2510" t="s">
        <v>147</v>
      </c>
      <c r="CF2510" s="3">
        <v>45953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"080068673824"</f>
        <v>080068673824</v>
      </c>
      <c r="F2511" s="3">
        <v>45952</v>
      </c>
      <c r="G2511">
        <v>202607</v>
      </c>
      <c r="H2511" t="s">
        <v>79</v>
      </c>
      <c r="I2511" t="s">
        <v>80</v>
      </c>
      <c r="J2511" t="s">
        <v>91</v>
      </c>
      <c r="K2511" t="s">
        <v>78</v>
      </c>
      <c r="L2511" t="s">
        <v>168</v>
      </c>
      <c r="M2511" t="s">
        <v>169</v>
      </c>
      <c r="N2511" t="s">
        <v>212</v>
      </c>
      <c r="O2511" t="s">
        <v>82</v>
      </c>
      <c r="P2511" t="str">
        <f>"4170065508                    "</f>
        <v xml:space="preserve">4170065508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22.36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1.1000000000000001</v>
      </c>
      <c r="BK2511">
        <v>1.5</v>
      </c>
      <c r="BL2511">
        <v>70.959999999999994</v>
      </c>
      <c r="BM2511">
        <v>10.64</v>
      </c>
      <c r="BN2511">
        <v>81.599999999999994</v>
      </c>
      <c r="BO2511">
        <v>81.599999999999994</v>
      </c>
      <c r="BQ2511" t="s">
        <v>213</v>
      </c>
      <c r="BR2511" t="s">
        <v>97</v>
      </c>
      <c r="BS2511" s="3">
        <v>45953</v>
      </c>
      <c r="BT2511" s="4">
        <v>0.36458333333333331</v>
      </c>
      <c r="BU2511" t="s">
        <v>3078</v>
      </c>
      <c r="BV2511" t="s">
        <v>86</v>
      </c>
      <c r="BY2511">
        <v>5510</v>
      </c>
      <c r="CA2511">
        <v>8303236124087</v>
      </c>
      <c r="CC2511" t="s">
        <v>169</v>
      </c>
      <c r="CD2511" s="5" t="s">
        <v>217</v>
      </c>
      <c r="CE2511" t="s">
        <v>191</v>
      </c>
      <c r="CF2511" s="3">
        <v>45953</v>
      </c>
      <c r="CI2511">
        <v>1</v>
      </c>
      <c r="CJ2511">
        <v>1</v>
      </c>
      <c r="CK2511">
        <v>21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"080068673823"</f>
        <v>080068673823</v>
      </c>
      <c r="F2512" s="3">
        <v>45952</v>
      </c>
      <c r="G2512">
        <v>202607</v>
      </c>
      <c r="H2512" t="s">
        <v>79</v>
      </c>
      <c r="I2512" t="s">
        <v>80</v>
      </c>
      <c r="J2512" t="s">
        <v>91</v>
      </c>
      <c r="K2512" t="s">
        <v>78</v>
      </c>
      <c r="L2512" t="s">
        <v>233</v>
      </c>
      <c r="M2512" t="s">
        <v>234</v>
      </c>
      <c r="N2512" t="s">
        <v>1066</v>
      </c>
      <c r="O2512" t="s">
        <v>82</v>
      </c>
      <c r="P2512" t="str">
        <f>"4170065528                    "</f>
        <v xml:space="preserve">4170065528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22.36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70.959999999999994</v>
      </c>
      <c r="BM2512">
        <v>10.64</v>
      </c>
      <c r="BN2512">
        <v>81.599999999999994</v>
      </c>
      <c r="BO2512">
        <v>81.599999999999994</v>
      </c>
      <c r="BQ2512" t="s">
        <v>1067</v>
      </c>
      <c r="BR2512" t="s">
        <v>97</v>
      </c>
      <c r="BS2512" s="3">
        <v>45953</v>
      </c>
      <c r="BT2512" s="4">
        <v>0.35</v>
      </c>
      <c r="BU2512" t="s">
        <v>2268</v>
      </c>
      <c r="BV2512" t="s">
        <v>86</v>
      </c>
      <c r="BY2512">
        <v>1200</v>
      </c>
      <c r="CA2512">
        <v>7104145194083</v>
      </c>
      <c r="CC2512" t="s">
        <v>234</v>
      </c>
      <c r="CD2512" s="5" t="s">
        <v>238</v>
      </c>
      <c r="CE2512" t="s">
        <v>147</v>
      </c>
      <c r="CF2512" s="3">
        <v>45953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"080068673872"</f>
        <v>080068673872</v>
      </c>
      <c r="F2513" s="3">
        <v>45952</v>
      </c>
      <c r="G2513">
        <v>202607</v>
      </c>
      <c r="H2513" t="s">
        <v>79</v>
      </c>
      <c r="I2513" t="s">
        <v>80</v>
      </c>
      <c r="J2513" t="s">
        <v>91</v>
      </c>
      <c r="K2513" t="s">
        <v>78</v>
      </c>
      <c r="L2513" t="s">
        <v>809</v>
      </c>
      <c r="M2513" t="s">
        <v>810</v>
      </c>
      <c r="N2513" t="s">
        <v>2866</v>
      </c>
      <c r="O2513" t="s">
        <v>82</v>
      </c>
      <c r="P2513" t="str">
        <f>"4170065478                    "</f>
        <v xml:space="preserve">4170065478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17.46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55.42</v>
      </c>
      <c r="BM2513">
        <v>8.31</v>
      </c>
      <c r="BN2513">
        <v>63.73</v>
      </c>
      <c r="BO2513">
        <v>63.73</v>
      </c>
      <c r="BQ2513" t="s">
        <v>2867</v>
      </c>
      <c r="BR2513" t="s">
        <v>97</v>
      </c>
      <c r="BS2513" s="3">
        <v>45953</v>
      </c>
      <c r="BT2513" s="4">
        <v>0.3576388888888889</v>
      </c>
      <c r="BU2513" t="s">
        <v>3079</v>
      </c>
      <c r="BV2513" t="s">
        <v>86</v>
      </c>
      <c r="BY2513">
        <v>1200</v>
      </c>
      <c r="CA2513" t="s">
        <v>1421</v>
      </c>
      <c r="CC2513" t="s">
        <v>810</v>
      </c>
      <c r="CD2513">
        <v>1709</v>
      </c>
      <c r="CE2513" t="s">
        <v>147</v>
      </c>
      <c r="CF2513" s="3">
        <v>45953</v>
      </c>
      <c r="CI2513">
        <v>1</v>
      </c>
      <c r="CJ2513">
        <v>1</v>
      </c>
      <c r="CK2513">
        <v>22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"080068673882"</f>
        <v>080068673882</v>
      </c>
      <c r="F2514" s="3">
        <v>45952</v>
      </c>
      <c r="G2514">
        <v>202607</v>
      </c>
      <c r="H2514" t="s">
        <v>79</v>
      </c>
      <c r="I2514" t="s">
        <v>80</v>
      </c>
      <c r="J2514" t="s">
        <v>91</v>
      </c>
      <c r="K2514" t="s">
        <v>78</v>
      </c>
      <c r="L2514" t="s">
        <v>108</v>
      </c>
      <c r="M2514" t="s">
        <v>109</v>
      </c>
      <c r="N2514" t="s">
        <v>256</v>
      </c>
      <c r="O2514" t="s">
        <v>95</v>
      </c>
      <c r="P2514" t="str">
        <f>"4170065037                    "</f>
        <v xml:space="preserve">4170065037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119.98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2</v>
      </c>
      <c r="BI2514">
        <v>15</v>
      </c>
      <c r="BJ2514">
        <v>57.6</v>
      </c>
      <c r="BK2514">
        <v>58</v>
      </c>
      <c r="BL2514">
        <v>386.67</v>
      </c>
      <c r="BM2514">
        <v>58</v>
      </c>
      <c r="BN2514">
        <v>444.67</v>
      </c>
      <c r="BO2514">
        <v>444.67</v>
      </c>
      <c r="BQ2514" t="s">
        <v>257</v>
      </c>
      <c r="BR2514" t="s">
        <v>97</v>
      </c>
      <c r="BS2514" s="3">
        <v>45954</v>
      </c>
      <c r="BT2514" s="4">
        <v>0.3888888888888889</v>
      </c>
      <c r="BU2514" t="s">
        <v>258</v>
      </c>
      <c r="BV2514" t="s">
        <v>86</v>
      </c>
      <c r="BY2514">
        <v>287778</v>
      </c>
      <c r="CA2514" t="s">
        <v>142</v>
      </c>
      <c r="CC2514" t="s">
        <v>109</v>
      </c>
      <c r="CD2514">
        <v>6001</v>
      </c>
      <c r="CE2514" t="s">
        <v>1955</v>
      </c>
      <c r="CF2514" s="3">
        <v>45954</v>
      </c>
      <c r="CI2514">
        <v>3</v>
      </c>
      <c r="CJ2514">
        <v>2</v>
      </c>
      <c r="CK2514">
        <v>41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"080068673912"</f>
        <v>080068673912</v>
      </c>
      <c r="F2515" s="3">
        <v>45952</v>
      </c>
      <c r="G2515">
        <v>202607</v>
      </c>
      <c r="H2515" t="s">
        <v>79</v>
      </c>
      <c r="I2515" t="s">
        <v>80</v>
      </c>
      <c r="J2515" t="s">
        <v>91</v>
      </c>
      <c r="K2515" t="s">
        <v>78</v>
      </c>
      <c r="L2515" t="s">
        <v>223</v>
      </c>
      <c r="M2515" t="s">
        <v>224</v>
      </c>
      <c r="N2515" t="s">
        <v>505</v>
      </c>
      <c r="O2515" t="s">
        <v>82</v>
      </c>
      <c r="P2515" t="str">
        <f>"4170065387                    "</f>
        <v xml:space="preserve">4170065387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17.46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55.42</v>
      </c>
      <c r="BM2515">
        <v>8.31</v>
      </c>
      <c r="BN2515">
        <v>63.73</v>
      </c>
      <c r="BO2515">
        <v>63.73</v>
      </c>
      <c r="BQ2515" t="s">
        <v>506</v>
      </c>
      <c r="BR2515" t="s">
        <v>97</v>
      </c>
      <c r="BS2515" s="3">
        <v>45953</v>
      </c>
      <c r="BT2515" s="4">
        <v>0.32430555555555557</v>
      </c>
      <c r="BU2515" t="s">
        <v>507</v>
      </c>
      <c r="BV2515" t="s">
        <v>86</v>
      </c>
      <c r="BY2515">
        <v>1200</v>
      </c>
      <c r="CA2515" t="s">
        <v>508</v>
      </c>
      <c r="CC2515" t="s">
        <v>224</v>
      </c>
      <c r="CD2515">
        <v>1459</v>
      </c>
      <c r="CE2515" t="s">
        <v>147</v>
      </c>
      <c r="CF2515" s="3">
        <v>45953</v>
      </c>
      <c r="CI2515">
        <v>1</v>
      </c>
      <c r="CJ2515">
        <v>1</v>
      </c>
      <c r="CK2515">
        <v>22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"080068673920"</f>
        <v>080068673920</v>
      </c>
      <c r="F2516" s="3">
        <v>45952</v>
      </c>
      <c r="G2516">
        <v>202607</v>
      </c>
      <c r="H2516" t="s">
        <v>79</v>
      </c>
      <c r="I2516" t="s">
        <v>80</v>
      </c>
      <c r="J2516" t="s">
        <v>91</v>
      </c>
      <c r="K2516" t="s">
        <v>78</v>
      </c>
      <c r="L2516" t="s">
        <v>121</v>
      </c>
      <c r="M2516" t="s">
        <v>122</v>
      </c>
      <c r="N2516" t="s">
        <v>123</v>
      </c>
      <c r="O2516" t="s">
        <v>82</v>
      </c>
      <c r="P2516" t="str">
        <f>"4170065491                    "</f>
        <v xml:space="preserve">4170065491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33.520000000000003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1.5</v>
      </c>
      <c r="BK2516">
        <v>3</v>
      </c>
      <c r="BL2516">
        <v>106.4</v>
      </c>
      <c r="BM2516">
        <v>15.96</v>
      </c>
      <c r="BN2516">
        <v>122.36</v>
      </c>
      <c r="BO2516">
        <v>122.36</v>
      </c>
      <c r="BQ2516" t="s">
        <v>124</v>
      </c>
      <c r="BR2516" t="s">
        <v>97</v>
      </c>
      <c r="BS2516" s="3">
        <v>45953</v>
      </c>
      <c r="BT2516" s="4">
        <v>0.33680555555555558</v>
      </c>
      <c r="BU2516" t="s">
        <v>125</v>
      </c>
      <c r="BV2516" t="s">
        <v>86</v>
      </c>
      <c r="BY2516">
        <v>7448</v>
      </c>
      <c r="CA2516" t="s">
        <v>126</v>
      </c>
      <c r="CC2516" t="s">
        <v>122</v>
      </c>
      <c r="CD2516">
        <v>4051</v>
      </c>
      <c r="CE2516" t="s">
        <v>107</v>
      </c>
      <c r="CF2516" s="3">
        <v>45953</v>
      </c>
      <c r="CI2516">
        <v>1</v>
      </c>
      <c r="CJ2516">
        <v>1</v>
      </c>
      <c r="CK2516">
        <v>21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"080068673967"</f>
        <v>080068673967</v>
      </c>
      <c r="F2517" s="3">
        <v>45952</v>
      </c>
      <c r="G2517">
        <v>202607</v>
      </c>
      <c r="H2517" t="s">
        <v>79</v>
      </c>
      <c r="I2517" t="s">
        <v>80</v>
      </c>
      <c r="J2517" t="s">
        <v>91</v>
      </c>
      <c r="K2517" t="s">
        <v>78</v>
      </c>
      <c r="L2517" t="s">
        <v>223</v>
      </c>
      <c r="M2517" t="s">
        <v>224</v>
      </c>
      <c r="N2517" t="s">
        <v>1729</v>
      </c>
      <c r="O2517" t="s">
        <v>82</v>
      </c>
      <c r="P2517" t="str">
        <f>"4170065415                    "</f>
        <v xml:space="preserve">4170065415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17.46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55.42</v>
      </c>
      <c r="BM2517">
        <v>8.31</v>
      </c>
      <c r="BN2517">
        <v>63.73</v>
      </c>
      <c r="BO2517">
        <v>63.73</v>
      </c>
      <c r="BQ2517" t="s">
        <v>2868</v>
      </c>
      <c r="BR2517" t="s">
        <v>97</v>
      </c>
      <c r="BS2517" s="3">
        <v>45953</v>
      </c>
      <c r="BT2517" s="4">
        <v>0.35208333333333336</v>
      </c>
      <c r="BU2517" t="s">
        <v>3080</v>
      </c>
      <c r="BV2517" t="s">
        <v>86</v>
      </c>
      <c r="BY2517">
        <v>1200</v>
      </c>
      <c r="CA2517" t="s">
        <v>508</v>
      </c>
      <c r="CC2517" t="s">
        <v>224</v>
      </c>
      <c r="CD2517">
        <v>1459</v>
      </c>
      <c r="CE2517" t="s">
        <v>147</v>
      </c>
      <c r="CF2517" s="3">
        <v>45953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"080068674009"</f>
        <v>080068674009</v>
      </c>
      <c r="F2518" s="3">
        <v>45952</v>
      </c>
      <c r="G2518">
        <v>202607</v>
      </c>
      <c r="H2518" t="s">
        <v>79</v>
      </c>
      <c r="I2518" t="s">
        <v>80</v>
      </c>
      <c r="J2518" t="s">
        <v>91</v>
      </c>
      <c r="K2518" t="s">
        <v>78</v>
      </c>
      <c r="L2518" t="s">
        <v>322</v>
      </c>
      <c r="M2518" t="s">
        <v>322</v>
      </c>
      <c r="N2518" t="s">
        <v>1267</v>
      </c>
      <c r="O2518" t="s">
        <v>82</v>
      </c>
      <c r="P2518" t="str">
        <f>"4170065529                    "</f>
        <v xml:space="preserve">4170065529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43.31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137.47</v>
      </c>
      <c r="BM2518">
        <v>20.62</v>
      </c>
      <c r="BN2518">
        <v>158.09</v>
      </c>
      <c r="BO2518">
        <v>158.09</v>
      </c>
      <c r="BQ2518" t="s">
        <v>1268</v>
      </c>
      <c r="BR2518" t="s">
        <v>97</v>
      </c>
      <c r="BS2518" s="3">
        <v>45953</v>
      </c>
      <c r="BT2518" s="4">
        <v>0.50069444444444444</v>
      </c>
      <c r="BU2518" t="s">
        <v>3066</v>
      </c>
      <c r="BV2518" t="s">
        <v>86</v>
      </c>
      <c r="BY2518">
        <v>1200</v>
      </c>
      <c r="CA2518" t="s">
        <v>1270</v>
      </c>
      <c r="CC2518" t="s">
        <v>322</v>
      </c>
      <c r="CD2518">
        <v>7655</v>
      </c>
      <c r="CE2518" t="s">
        <v>147</v>
      </c>
      <c r="CF2518" s="3">
        <v>45954</v>
      </c>
      <c r="CI2518">
        <v>1</v>
      </c>
      <c r="CJ2518">
        <v>1</v>
      </c>
      <c r="CK2518">
        <v>23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"080068674055"</f>
        <v>080068674055</v>
      </c>
      <c r="F2519" s="3">
        <v>45952</v>
      </c>
      <c r="G2519">
        <v>202607</v>
      </c>
      <c r="H2519" t="s">
        <v>79</v>
      </c>
      <c r="I2519" t="s">
        <v>80</v>
      </c>
      <c r="J2519" t="s">
        <v>91</v>
      </c>
      <c r="K2519" t="s">
        <v>78</v>
      </c>
      <c r="L2519" t="s">
        <v>246</v>
      </c>
      <c r="M2519" t="s">
        <v>247</v>
      </c>
      <c r="N2519" t="s">
        <v>2893</v>
      </c>
      <c r="O2519" t="s">
        <v>82</v>
      </c>
      <c r="P2519" t="str">
        <f>"4170065514                    "</f>
        <v xml:space="preserve">4170065514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43.31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16.739999999999998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154.21</v>
      </c>
      <c r="BM2519">
        <v>23.13</v>
      </c>
      <c r="BN2519">
        <v>177.34</v>
      </c>
      <c r="BO2519">
        <v>177.34</v>
      </c>
      <c r="BQ2519" t="s">
        <v>2894</v>
      </c>
      <c r="BR2519" t="s">
        <v>97</v>
      </c>
      <c r="BS2519" s="3">
        <v>45954</v>
      </c>
      <c r="BT2519" s="4">
        <v>0.5</v>
      </c>
      <c r="BU2519" t="s">
        <v>3081</v>
      </c>
      <c r="BV2519" t="s">
        <v>90</v>
      </c>
      <c r="BW2519" t="s">
        <v>3082</v>
      </c>
      <c r="BX2519" t="s">
        <v>3083</v>
      </c>
      <c r="BY2519">
        <v>1200</v>
      </c>
      <c r="BZ2519" t="s">
        <v>30</v>
      </c>
      <c r="CC2519" t="s">
        <v>247</v>
      </c>
      <c r="CD2519" s="5" t="s">
        <v>2896</v>
      </c>
      <c r="CE2519" t="s">
        <v>147</v>
      </c>
      <c r="CF2519" s="3">
        <v>45957</v>
      </c>
      <c r="CI2519">
        <v>1</v>
      </c>
      <c r="CJ2519">
        <v>2</v>
      </c>
      <c r="CK2519">
        <v>23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"080068674064"</f>
        <v>080068674064</v>
      </c>
      <c r="F2520" s="3">
        <v>45952</v>
      </c>
      <c r="G2520">
        <v>202607</v>
      </c>
      <c r="H2520" t="s">
        <v>79</v>
      </c>
      <c r="I2520" t="s">
        <v>80</v>
      </c>
      <c r="J2520" t="s">
        <v>91</v>
      </c>
      <c r="K2520" t="s">
        <v>78</v>
      </c>
      <c r="L2520" t="s">
        <v>239</v>
      </c>
      <c r="M2520" t="s">
        <v>240</v>
      </c>
      <c r="N2520" t="s">
        <v>526</v>
      </c>
      <c r="O2520" t="s">
        <v>82</v>
      </c>
      <c r="P2520" t="str">
        <f>"4170065333                    "</f>
        <v xml:space="preserve">4170065333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53.09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2.2999999999999998</v>
      </c>
      <c r="BJ2520">
        <v>1.5</v>
      </c>
      <c r="BK2520">
        <v>2.5</v>
      </c>
      <c r="BL2520">
        <v>168.51</v>
      </c>
      <c r="BM2520">
        <v>25.28</v>
      </c>
      <c r="BN2520">
        <v>193.79</v>
      </c>
      <c r="BO2520">
        <v>193.79</v>
      </c>
      <c r="BQ2520" t="s">
        <v>527</v>
      </c>
      <c r="BR2520" t="s">
        <v>97</v>
      </c>
      <c r="BS2520" s="3">
        <v>45953</v>
      </c>
      <c r="BT2520" s="4">
        <v>0.43333333333333335</v>
      </c>
      <c r="BU2520" t="s">
        <v>528</v>
      </c>
      <c r="BV2520" t="s">
        <v>86</v>
      </c>
      <c r="BY2520">
        <v>7542.08</v>
      </c>
      <c r="CA2520" t="s">
        <v>3084</v>
      </c>
      <c r="CC2520" t="s">
        <v>240</v>
      </c>
      <c r="CD2520" s="5" t="s">
        <v>245</v>
      </c>
      <c r="CE2520" t="s">
        <v>107</v>
      </c>
      <c r="CF2520" s="3">
        <v>45954</v>
      </c>
      <c r="CI2520">
        <v>1</v>
      </c>
      <c r="CJ2520">
        <v>1</v>
      </c>
      <c r="CK2520">
        <v>23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"080068674085"</f>
        <v>080068674085</v>
      </c>
      <c r="F2521" s="3">
        <v>45952</v>
      </c>
      <c r="G2521">
        <v>202607</v>
      </c>
      <c r="H2521" t="s">
        <v>79</v>
      </c>
      <c r="I2521" t="s">
        <v>80</v>
      </c>
      <c r="J2521" t="s">
        <v>91</v>
      </c>
      <c r="K2521" t="s">
        <v>78</v>
      </c>
      <c r="L2521" t="s">
        <v>121</v>
      </c>
      <c r="M2521" t="s">
        <v>122</v>
      </c>
      <c r="N2521" t="s">
        <v>154</v>
      </c>
      <c r="O2521" t="s">
        <v>95</v>
      </c>
      <c r="P2521" t="str">
        <f>"4170065545                    "</f>
        <v xml:space="preserve">4170065545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43.23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9.6</v>
      </c>
      <c r="BJ2521">
        <v>5.0999999999999996</v>
      </c>
      <c r="BK2521">
        <v>10</v>
      </c>
      <c r="BL2521">
        <v>143.08000000000001</v>
      </c>
      <c r="BM2521">
        <v>21.46</v>
      </c>
      <c r="BN2521">
        <v>164.54</v>
      </c>
      <c r="BO2521">
        <v>164.54</v>
      </c>
      <c r="BQ2521" t="s">
        <v>155</v>
      </c>
      <c r="BR2521" t="s">
        <v>97</v>
      </c>
      <c r="BS2521" s="3">
        <v>45953</v>
      </c>
      <c r="BT2521" s="4">
        <v>0.54305555555555551</v>
      </c>
      <c r="BU2521" t="s">
        <v>3085</v>
      </c>
      <c r="BV2521" t="s">
        <v>86</v>
      </c>
      <c r="BY2521">
        <v>25384.23</v>
      </c>
      <c r="CA2521" t="s">
        <v>3086</v>
      </c>
      <c r="CC2521" t="s">
        <v>122</v>
      </c>
      <c r="CD2521">
        <v>4052</v>
      </c>
      <c r="CE2521" t="s">
        <v>931</v>
      </c>
      <c r="CF2521" s="3">
        <v>45953</v>
      </c>
      <c r="CI2521">
        <v>1</v>
      </c>
      <c r="CJ2521">
        <v>1</v>
      </c>
      <c r="CK2521">
        <v>41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"080068674087"</f>
        <v>080068674087</v>
      </c>
      <c r="F2522" s="3">
        <v>45952</v>
      </c>
      <c r="G2522">
        <v>202607</v>
      </c>
      <c r="H2522" t="s">
        <v>79</v>
      </c>
      <c r="I2522" t="s">
        <v>80</v>
      </c>
      <c r="J2522" t="s">
        <v>91</v>
      </c>
      <c r="K2522" t="s">
        <v>78</v>
      </c>
      <c r="L2522" t="s">
        <v>79</v>
      </c>
      <c r="M2522" t="s">
        <v>80</v>
      </c>
      <c r="N2522" t="s">
        <v>539</v>
      </c>
      <c r="O2522" t="s">
        <v>82</v>
      </c>
      <c r="P2522" t="str">
        <f>"4170065351                    "</f>
        <v xml:space="preserve">4170065351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17.46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55.42</v>
      </c>
      <c r="BM2522">
        <v>8.31</v>
      </c>
      <c r="BN2522">
        <v>63.73</v>
      </c>
      <c r="BO2522">
        <v>63.73</v>
      </c>
      <c r="BQ2522" t="s">
        <v>540</v>
      </c>
      <c r="BR2522" t="s">
        <v>97</v>
      </c>
      <c r="BS2522" s="3">
        <v>45953</v>
      </c>
      <c r="BT2522" s="4">
        <v>0.4284722222222222</v>
      </c>
      <c r="BU2522" t="s">
        <v>3032</v>
      </c>
      <c r="BV2522" t="s">
        <v>86</v>
      </c>
      <c r="BY2522">
        <v>1200</v>
      </c>
      <c r="CA2522" t="s">
        <v>3033</v>
      </c>
      <c r="CC2522" t="s">
        <v>80</v>
      </c>
      <c r="CD2522">
        <v>1614</v>
      </c>
      <c r="CE2522" t="s">
        <v>147</v>
      </c>
      <c r="CF2522" s="3">
        <v>45954</v>
      </c>
      <c r="CI2522">
        <v>1</v>
      </c>
      <c r="CJ2522">
        <v>1</v>
      </c>
      <c r="CK2522">
        <v>22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"080068674140"</f>
        <v>080068674140</v>
      </c>
      <c r="F2523" s="3">
        <v>45952</v>
      </c>
      <c r="G2523">
        <v>202607</v>
      </c>
      <c r="H2523" t="s">
        <v>79</v>
      </c>
      <c r="I2523" t="s">
        <v>80</v>
      </c>
      <c r="J2523" t="s">
        <v>91</v>
      </c>
      <c r="K2523" t="s">
        <v>78</v>
      </c>
      <c r="L2523" t="s">
        <v>180</v>
      </c>
      <c r="M2523" t="s">
        <v>181</v>
      </c>
      <c r="N2523" t="s">
        <v>1364</v>
      </c>
      <c r="O2523" t="s">
        <v>82</v>
      </c>
      <c r="P2523" t="str">
        <f>"4170065425                    "</f>
        <v xml:space="preserve">4170065425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43.31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137.47</v>
      </c>
      <c r="BM2523">
        <v>20.62</v>
      </c>
      <c r="BN2523">
        <v>158.09</v>
      </c>
      <c r="BO2523">
        <v>158.09</v>
      </c>
      <c r="BQ2523" t="s">
        <v>1365</v>
      </c>
      <c r="BR2523" t="s">
        <v>97</v>
      </c>
      <c r="BS2523" s="3">
        <v>45953</v>
      </c>
      <c r="BT2523" s="4">
        <v>0.47430555555555554</v>
      </c>
      <c r="BU2523" t="s">
        <v>1366</v>
      </c>
      <c r="BV2523" t="s">
        <v>86</v>
      </c>
      <c r="BY2523">
        <v>1200</v>
      </c>
      <c r="CA2523">
        <v>8608105569083</v>
      </c>
      <c r="CC2523" t="s">
        <v>181</v>
      </c>
      <c r="CD2523">
        <v>1020</v>
      </c>
      <c r="CE2523" t="s">
        <v>147</v>
      </c>
      <c r="CF2523" s="3">
        <v>45953</v>
      </c>
      <c r="CI2523">
        <v>1</v>
      </c>
      <c r="CJ2523">
        <v>1</v>
      </c>
      <c r="CK2523">
        <v>23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"080068674143"</f>
        <v>080068674143</v>
      </c>
      <c r="F2524" s="3">
        <v>45952</v>
      </c>
      <c r="G2524">
        <v>202607</v>
      </c>
      <c r="H2524" t="s">
        <v>79</v>
      </c>
      <c r="I2524" t="s">
        <v>80</v>
      </c>
      <c r="J2524" t="s">
        <v>91</v>
      </c>
      <c r="K2524" t="s">
        <v>78</v>
      </c>
      <c r="L2524" t="s">
        <v>121</v>
      </c>
      <c r="M2524" t="s">
        <v>122</v>
      </c>
      <c r="N2524" t="s">
        <v>424</v>
      </c>
      <c r="O2524" t="s">
        <v>82</v>
      </c>
      <c r="P2524" t="str">
        <f>"4170065348                    "</f>
        <v xml:space="preserve">4170065348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22.36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1.1000000000000001</v>
      </c>
      <c r="BK2524">
        <v>1.5</v>
      </c>
      <c r="BL2524">
        <v>70.959999999999994</v>
      </c>
      <c r="BM2524">
        <v>10.64</v>
      </c>
      <c r="BN2524">
        <v>81.599999999999994</v>
      </c>
      <c r="BO2524">
        <v>81.599999999999994</v>
      </c>
      <c r="BQ2524" t="s">
        <v>425</v>
      </c>
      <c r="BR2524" t="s">
        <v>97</v>
      </c>
      <c r="BS2524" s="3">
        <v>45954</v>
      </c>
      <c r="BT2524" s="4">
        <v>0.4861111111111111</v>
      </c>
      <c r="BU2524" t="s">
        <v>3087</v>
      </c>
      <c r="BV2524" t="s">
        <v>90</v>
      </c>
      <c r="BW2524" t="s">
        <v>771</v>
      </c>
      <c r="BX2524" t="s">
        <v>1222</v>
      </c>
      <c r="BY2524">
        <v>5510</v>
      </c>
      <c r="CA2524" t="s">
        <v>157</v>
      </c>
      <c r="CC2524" t="s">
        <v>122</v>
      </c>
      <c r="CD2524">
        <v>4052</v>
      </c>
      <c r="CE2524" t="s">
        <v>191</v>
      </c>
      <c r="CF2524" s="3">
        <v>45954</v>
      </c>
      <c r="CI2524">
        <v>1</v>
      </c>
      <c r="CJ2524">
        <v>2</v>
      </c>
      <c r="CK2524">
        <v>21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"080068674185"</f>
        <v>080068674185</v>
      </c>
      <c r="F2525" s="3">
        <v>45952</v>
      </c>
      <c r="G2525">
        <v>202607</v>
      </c>
      <c r="H2525" t="s">
        <v>79</v>
      </c>
      <c r="I2525" t="s">
        <v>80</v>
      </c>
      <c r="J2525" t="s">
        <v>91</v>
      </c>
      <c r="K2525" t="s">
        <v>78</v>
      </c>
      <c r="L2525" t="s">
        <v>92</v>
      </c>
      <c r="M2525" t="s">
        <v>93</v>
      </c>
      <c r="N2525" t="s">
        <v>1871</v>
      </c>
      <c r="O2525" t="s">
        <v>82</v>
      </c>
      <c r="P2525" t="str">
        <f>"4170065445                    "</f>
        <v xml:space="preserve">4170065445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22.36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16.739999999999998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87.7</v>
      </c>
      <c r="BM2525">
        <v>13.16</v>
      </c>
      <c r="BN2525">
        <v>100.86</v>
      </c>
      <c r="BO2525">
        <v>100.86</v>
      </c>
      <c r="BQ2525" t="s">
        <v>1872</v>
      </c>
      <c r="BR2525" t="s">
        <v>97</v>
      </c>
      <c r="BS2525" s="3">
        <v>45953</v>
      </c>
      <c r="BT2525" s="4">
        <v>0.62777777777777777</v>
      </c>
      <c r="BU2525" t="s">
        <v>3088</v>
      </c>
      <c r="BV2525" t="s">
        <v>86</v>
      </c>
      <c r="BY2525">
        <v>1200</v>
      </c>
      <c r="BZ2525" t="s">
        <v>30</v>
      </c>
      <c r="CA2525" t="s">
        <v>1699</v>
      </c>
      <c r="CC2525" t="s">
        <v>93</v>
      </c>
      <c r="CD2525">
        <v>3699</v>
      </c>
      <c r="CE2525" t="s">
        <v>147</v>
      </c>
      <c r="CF2525" s="3">
        <v>45954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"080068674186"</f>
        <v>080068674186</v>
      </c>
      <c r="F2526" s="3">
        <v>45952</v>
      </c>
      <c r="G2526">
        <v>202607</v>
      </c>
      <c r="H2526" t="s">
        <v>79</v>
      </c>
      <c r="I2526" t="s">
        <v>80</v>
      </c>
      <c r="J2526" t="s">
        <v>91</v>
      </c>
      <c r="K2526" t="s">
        <v>78</v>
      </c>
      <c r="L2526" t="s">
        <v>92</v>
      </c>
      <c r="M2526" t="s">
        <v>93</v>
      </c>
      <c r="N2526" t="s">
        <v>2047</v>
      </c>
      <c r="O2526" t="s">
        <v>82</v>
      </c>
      <c r="P2526" t="str">
        <f>"4170065509                    "</f>
        <v xml:space="preserve">4170065509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128.46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11.4</v>
      </c>
      <c r="BJ2526">
        <v>5.7</v>
      </c>
      <c r="BK2526">
        <v>11.5</v>
      </c>
      <c r="BL2526">
        <v>407.72</v>
      </c>
      <c r="BM2526">
        <v>61.16</v>
      </c>
      <c r="BN2526">
        <v>468.88</v>
      </c>
      <c r="BO2526">
        <v>468.88</v>
      </c>
      <c r="BQ2526" t="s">
        <v>2048</v>
      </c>
      <c r="BR2526" t="s">
        <v>97</v>
      </c>
      <c r="BS2526" s="3">
        <v>45953</v>
      </c>
      <c r="BT2526" s="4">
        <v>0.47222222222222221</v>
      </c>
      <c r="BU2526" t="s">
        <v>3070</v>
      </c>
      <c r="BV2526" t="s">
        <v>86</v>
      </c>
      <c r="BY2526">
        <v>28488.9</v>
      </c>
      <c r="CC2526" t="s">
        <v>93</v>
      </c>
      <c r="CD2526">
        <v>3212</v>
      </c>
      <c r="CE2526" t="s">
        <v>191</v>
      </c>
      <c r="CF2526" s="3">
        <v>45954</v>
      </c>
      <c r="CI2526">
        <v>2</v>
      </c>
      <c r="CJ2526">
        <v>1</v>
      </c>
      <c r="CK2526">
        <v>21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"080068674218"</f>
        <v>080068674218</v>
      </c>
      <c r="F2527" s="3">
        <v>45952</v>
      </c>
      <c r="G2527">
        <v>202607</v>
      </c>
      <c r="H2527" t="s">
        <v>79</v>
      </c>
      <c r="I2527" t="s">
        <v>80</v>
      </c>
      <c r="J2527" t="s">
        <v>91</v>
      </c>
      <c r="K2527" t="s">
        <v>78</v>
      </c>
      <c r="L2527" t="s">
        <v>453</v>
      </c>
      <c r="M2527" t="s">
        <v>454</v>
      </c>
      <c r="N2527" t="s">
        <v>1223</v>
      </c>
      <c r="O2527" t="s">
        <v>82</v>
      </c>
      <c r="P2527" t="str">
        <f>"4170065432                    "</f>
        <v xml:space="preserve">4170065432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22.36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70.959999999999994</v>
      </c>
      <c r="BM2527">
        <v>10.64</v>
      </c>
      <c r="BN2527">
        <v>81.599999999999994</v>
      </c>
      <c r="BO2527">
        <v>81.599999999999994</v>
      </c>
      <c r="BQ2527" t="s">
        <v>1224</v>
      </c>
      <c r="BR2527" t="s">
        <v>97</v>
      </c>
      <c r="BS2527" s="3">
        <v>45953</v>
      </c>
      <c r="BT2527" s="4">
        <v>0.43055555555555558</v>
      </c>
      <c r="BU2527" t="s">
        <v>2675</v>
      </c>
      <c r="BV2527" t="s">
        <v>86</v>
      </c>
      <c r="BY2527">
        <v>1200</v>
      </c>
      <c r="CA2527" t="s">
        <v>742</v>
      </c>
      <c r="CC2527" t="s">
        <v>454</v>
      </c>
      <c r="CD2527">
        <v>3610</v>
      </c>
      <c r="CE2527" t="s">
        <v>147</v>
      </c>
      <c r="CF2527" s="3">
        <v>45953</v>
      </c>
      <c r="CI2527">
        <v>1</v>
      </c>
      <c r="CJ2527">
        <v>1</v>
      </c>
      <c r="CK2527">
        <v>21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"080068674226"</f>
        <v>080068674226</v>
      </c>
      <c r="F2528" s="3">
        <v>45952</v>
      </c>
      <c r="G2528">
        <v>202607</v>
      </c>
      <c r="H2528" t="s">
        <v>79</v>
      </c>
      <c r="I2528" t="s">
        <v>80</v>
      </c>
      <c r="J2528" t="s">
        <v>91</v>
      </c>
      <c r="K2528" t="s">
        <v>78</v>
      </c>
      <c r="L2528" t="s">
        <v>233</v>
      </c>
      <c r="M2528" t="s">
        <v>234</v>
      </c>
      <c r="N2528" t="s">
        <v>3089</v>
      </c>
      <c r="O2528" t="s">
        <v>82</v>
      </c>
      <c r="P2528" t="str">
        <f>"4170065401                    "</f>
        <v xml:space="preserve">4170065401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39.11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3.1</v>
      </c>
      <c r="BK2528">
        <v>3.5</v>
      </c>
      <c r="BL2528">
        <v>124.13</v>
      </c>
      <c r="BM2528">
        <v>18.62</v>
      </c>
      <c r="BN2528">
        <v>142.75</v>
      </c>
      <c r="BO2528">
        <v>142.75</v>
      </c>
      <c r="BQ2528" t="s">
        <v>3090</v>
      </c>
      <c r="BR2528" t="s">
        <v>97</v>
      </c>
      <c r="BS2528" s="3">
        <v>45953</v>
      </c>
      <c r="BT2528" s="4">
        <v>0.33680555555555558</v>
      </c>
      <c r="BU2528" t="s">
        <v>1777</v>
      </c>
      <c r="BV2528" t="s">
        <v>86</v>
      </c>
      <c r="BY2528">
        <v>15360</v>
      </c>
      <c r="CA2528">
        <v>8601266266086</v>
      </c>
      <c r="CC2528" t="s">
        <v>234</v>
      </c>
      <c r="CD2528" s="5" t="s">
        <v>238</v>
      </c>
      <c r="CE2528" t="s">
        <v>191</v>
      </c>
      <c r="CF2528" s="3">
        <v>45953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"080068674259"</f>
        <v>080068674259</v>
      </c>
      <c r="F2529" s="3">
        <v>45952</v>
      </c>
      <c r="G2529">
        <v>202607</v>
      </c>
      <c r="H2529" t="s">
        <v>79</v>
      </c>
      <c r="I2529" t="s">
        <v>80</v>
      </c>
      <c r="J2529" t="s">
        <v>91</v>
      </c>
      <c r="K2529" t="s">
        <v>78</v>
      </c>
      <c r="L2529" t="s">
        <v>223</v>
      </c>
      <c r="M2529" t="s">
        <v>224</v>
      </c>
      <c r="N2529" t="s">
        <v>570</v>
      </c>
      <c r="O2529" t="s">
        <v>226</v>
      </c>
      <c r="P2529" t="str">
        <f>"4170065349                    "</f>
        <v xml:space="preserve">4170065349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17.47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</v>
      </c>
      <c r="BJ2529">
        <v>1.1000000000000001</v>
      </c>
      <c r="BK2529">
        <v>4</v>
      </c>
      <c r="BL2529">
        <v>55.44</v>
      </c>
      <c r="BM2529">
        <v>8.32</v>
      </c>
      <c r="BN2529">
        <v>63.76</v>
      </c>
      <c r="BO2529">
        <v>63.76</v>
      </c>
      <c r="BQ2529" t="s">
        <v>571</v>
      </c>
      <c r="BR2529" t="s">
        <v>97</v>
      </c>
      <c r="BS2529" s="3">
        <v>45953</v>
      </c>
      <c r="BT2529" s="4">
        <v>0.37083333333333335</v>
      </c>
      <c r="BU2529" t="s">
        <v>1109</v>
      </c>
      <c r="BV2529" t="s">
        <v>86</v>
      </c>
      <c r="BY2529">
        <v>5510</v>
      </c>
      <c r="CA2529" t="s">
        <v>1110</v>
      </c>
      <c r="CC2529" t="s">
        <v>224</v>
      </c>
      <c r="CD2529">
        <v>1459</v>
      </c>
      <c r="CE2529" t="s">
        <v>191</v>
      </c>
      <c r="CF2529" s="3">
        <v>45953</v>
      </c>
      <c r="CI2529">
        <v>1</v>
      </c>
      <c r="CJ2529">
        <v>1</v>
      </c>
      <c r="CK2529">
        <v>32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"080068674315"</f>
        <v>080068674315</v>
      </c>
      <c r="F2530" s="3">
        <v>45952</v>
      </c>
      <c r="G2530">
        <v>202607</v>
      </c>
      <c r="H2530" t="s">
        <v>79</v>
      </c>
      <c r="I2530" t="s">
        <v>80</v>
      </c>
      <c r="J2530" t="s">
        <v>91</v>
      </c>
      <c r="K2530" t="s">
        <v>78</v>
      </c>
      <c r="L2530" t="s">
        <v>168</v>
      </c>
      <c r="M2530" t="s">
        <v>169</v>
      </c>
      <c r="N2530" t="s">
        <v>185</v>
      </c>
      <c r="O2530" t="s">
        <v>95</v>
      </c>
      <c r="P2530" t="str">
        <f>"4170065446                    "</f>
        <v xml:space="preserve">4170065446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43.23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14.9</v>
      </c>
      <c r="BJ2530">
        <v>9.3000000000000007</v>
      </c>
      <c r="BK2530">
        <v>15</v>
      </c>
      <c r="BL2530">
        <v>143.08000000000001</v>
      </c>
      <c r="BM2530">
        <v>21.46</v>
      </c>
      <c r="BN2530">
        <v>164.54</v>
      </c>
      <c r="BO2530">
        <v>164.54</v>
      </c>
      <c r="BQ2530" t="s">
        <v>186</v>
      </c>
      <c r="BR2530" t="s">
        <v>97</v>
      </c>
      <c r="BS2530" s="3">
        <v>45953</v>
      </c>
      <c r="BT2530" s="4">
        <v>0.44236111111111109</v>
      </c>
      <c r="BU2530" t="s">
        <v>187</v>
      </c>
      <c r="BV2530" t="s">
        <v>86</v>
      </c>
      <c r="BY2530">
        <v>46672.2</v>
      </c>
      <c r="CA2530">
        <v>8303236124087</v>
      </c>
      <c r="CC2530" t="s">
        <v>169</v>
      </c>
      <c r="CD2530" s="5" t="s">
        <v>190</v>
      </c>
      <c r="CE2530" t="s">
        <v>931</v>
      </c>
      <c r="CF2530" s="3">
        <v>45953</v>
      </c>
      <c r="CI2530">
        <v>1</v>
      </c>
      <c r="CJ2530">
        <v>1</v>
      </c>
      <c r="CK2530">
        <v>41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"080068674367"</f>
        <v>080068674367</v>
      </c>
      <c r="F2531" s="3">
        <v>45952</v>
      </c>
      <c r="G2531">
        <v>202607</v>
      </c>
      <c r="H2531" t="s">
        <v>79</v>
      </c>
      <c r="I2531" t="s">
        <v>80</v>
      </c>
      <c r="J2531" t="s">
        <v>91</v>
      </c>
      <c r="K2531" t="s">
        <v>78</v>
      </c>
      <c r="L2531" t="s">
        <v>114</v>
      </c>
      <c r="M2531" t="s">
        <v>115</v>
      </c>
      <c r="N2531" t="s">
        <v>881</v>
      </c>
      <c r="O2531" t="s">
        <v>82</v>
      </c>
      <c r="P2531" t="str">
        <f>"4170065499                    "</f>
        <v xml:space="preserve">4170065499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55.86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5</v>
      </c>
      <c r="BJ2531">
        <v>1.8</v>
      </c>
      <c r="BK2531">
        <v>5</v>
      </c>
      <c r="BL2531">
        <v>177.3</v>
      </c>
      <c r="BM2531">
        <v>26.6</v>
      </c>
      <c r="BN2531">
        <v>203.9</v>
      </c>
      <c r="BO2531">
        <v>203.9</v>
      </c>
      <c r="BQ2531" t="s">
        <v>882</v>
      </c>
      <c r="BR2531" t="s">
        <v>97</v>
      </c>
      <c r="BS2531" s="3">
        <v>45953</v>
      </c>
      <c r="BT2531" s="4">
        <v>0.5708333333333333</v>
      </c>
      <c r="BU2531" t="s">
        <v>3091</v>
      </c>
      <c r="BV2531" t="s">
        <v>90</v>
      </c>
      <c r="BY2531">
        <v>8816</v>
      </c>
      <c r="CA2531" t="s">
        <v>3092</v>
      </c>
      <c r="CC2531" t="s">
        <v>115</v>
      </c>
      <c r="CD2531">
        <v>5201</v>
      </c>
      <c r="CE2531" t="s">
        <v>191</v>
      </c>
      <c r="CF2531" s="3">
        <v>45954</v>
      </c>
      <c r="CI2531">
        <v>1</v>
      </c>
      <c r="CJ2531">
        <v>1</v>
      </c>
      <c r="CK2531">
        <v>21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"080068674460"</f>
        <v>080068674460</v>
      </c>
      <c r="F2532" s="3">
        <v>45952</v>
      </c>
      <c r="G2532">
        <v>202607</v>
      </c>
      <c r="H2532" t="s">
        <v>79</v>
      </c>
      <c r="I2532" t="s">
        <v>80</v>
      </c>
      <c r="J2532" t="s">
        <v>91</v>
      </c>
      <c r="K2532" t="s">
        <v>78</v>
      </c>
      <c r="L2532" t="s">
        <v>148</v>
      </c>
      <c r="M2532" t="s">
        <v>149</v>
      </c>
      <c r="N2532" t="s">
        <v>3093</v>
      </c>
      <c r="O2532" t="s">
        <v>82</v>
      </c>
      <c r="P2532" t="str">
        <f>"4170065477                    "</f>
        <v xml:space="preserve">4170065477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17.46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55.42</v>
      </c>
      <c r="BM2532">
        <v>8.31</v>
      </c>
      <c r="BN2532">
        <v>63.73</v>
      </c>
      <c r="BO2532">
        <v>63.73</v>
      </c>
      <c r="BQ2532" t="s">
        <v>3094</v>
      </c>
      <c r="BR2532" t="s">
        <v>97</v>
      </c>
      <c r="BS2532" s="3">
        <v>45953</v>
      </c>
      <c r="BT2532" s="4">
        <v>0.39791666666666664</v>
      </c>
      <c r="BU2532" t="s">
        <v>3095</v>
      </c>
      <c r="BV2532" t="s">
        <v>86</v>
      </c>
      <c r="BY2532">
        <v>1200</v>
      </c>
      <c r="CA2532" t="s">
        <v>2853</v>
      </c>
      <c r="CC2532" t="s">
        <v>149</v>
      </c>
      <c r="CD2532">
        <v>2049</v>
      </c>
      <c r="CE2532" t="s">
        <v>147</v>
      </c>
      <c r="CF2532" s="3">
        <v>45954</v>
      </c>
      <c r="CI2532">
        <v>1</v>
      </c>
      <c r="CJ2532">
        <v>1</v>
      </c>
      <c r="CK2532">
        <v>22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"080068674522"</f>
        <v>080068674522</v>
      </c>
      <c r="F2533" s="3">
        <v>45952</v>
      </c>
      <c r="G2533">
        <v>202607</v>
      </c>
      <c r="H2533" t="s">
        <v>79</v>
      </c>
      <c r="I2533" t="s">
        <v>80</v>
      </c>
      <c r="J2533" t="s">
        <v>91</v>
      </c>
      <c r="K2533" t="s">
        <v>78</v>
      </c>
      <c r="L2533" t="s">
        <v>79</v>
      </c>
      <c r="M2533" t="s">
        <v>80</v>
      </c>
      <c r="N2533" t="s">
        <v>1040</v>
      </c>
      <c r="O2533" t="s">
        <v>226</v>
      </c>
      <c r="P2533" t="str">
        <f>"4170065520                    "</f>
        <v xml:space="preserve">4170065520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17.47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8</v>
      </c>
      <c r="BJ2533">
        <v>6.9</v>
      </c>
      <c r="BK2533">
        <v>8</v>
      </c>
      <c r="BL2533">
        <v>55.44</v>
      </c>
      <c r="BM2533">
        <v>8.32</v>
      </c>
      <c r="BN2533">
        <v>63.76</v>
      </c>
      <c r="BO2533">
        <v>63.76</v>
      </c>
      <c r="BQ2533" t="s">
        <v>1041</v>
      </c>
      <c r="BR2533" t="s">
        <v>97</v>
      </c>
      <c r="BS2533" s="3">
        <v>45953</v>
      </c>
      <c r="BT2533" s="4">
        <v>0.29166666666666669</v>
      </c>
      <c r="BU2533" t="s">
        <v>1662</v>
      </c>
      <c r="BV2533" t="s">
        <v>86</v>
      </c>
      <c r="BY2533">
        <v>34656</v>
      </c>
      <c r="CA2533" t="s">
        <v>166</v>
      </c>
      <c r="CC2533" t="s">
        <v>80</v>
      </c>
      <c r="CD2533">
        <v>1600</v>
      </c>
      <c r="CE2533" t="s">
        <v>191</v>
      </c>
      <c r="CF2533" s="3">
        <v>45953</v>
      </c>
      <c r="CI2533">
        <v>1</v>
      </c>
      <c r="CJ2533">
        <v>1</v>
      </c>
      <c r="CK2533">
        <v>32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"080068674517"</f>
        <v>080068674517</v>
      </c>
      <c r="F2534" s="3">
        <v>45952</v>
      </c>
      <c r="G2534">
        <v>202607</v>
      </c>
      <c r="H2534" t="s">
        <v>79</v>
      </c>
      <c r="I2534" t="s">
        <v>80</v>
      </c>
      <c r="J2534" t="s">
        <v>91</v>
      </c>
      <c r="K2534" t="s">
        <v>78</v>
      </c>
      <c r="L2534" t="s">
        <v>168</v>
      </c>
      <c r="M2534" t="s">
        <v>169</v>
      </c>
      <c r="N2534" t="s">
        <v>836</v>
      </c>
      <c r="O2534" t="s">
        <v>82</v>
      </c>
      <c r="P2534" t="str">
        <f>"4170065490                    "</f>
        <v xml:space="preserve">4170065490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22.36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70.959999999999994</v>
      </c>
      <c r="BM2534">
        <v>10.64</v>
      </c>
      <c r="BN2534">
        <v>81.599999999999994</v>
      </c>
      <c r="BO2534">
        <v>81.599999999999994</v>
      </c>
      <c r="BQ2534" t="s">
        <v>837</v>
      </c>
      <c r="BR2534" t="s">
        <v>97</v>
      </c>
      <c r="BS2534" s="3">
        <v>45953</v>
      </c>
      <c r="BT2534" s="4">
        <v>0.39166666666666666</v>
      </c>
      <c r="BU2534" t="s">
        <v>838</v>
      </c>
      <c r="BV2534" t="s">
        <v>86</v>
      </c>
      <c r="BY2534">
        <v>1200</v>
      </c>
      <c r="CA2534">
        <v>8110305701087</v>
      </c>
      <c r="CC2534" t="s">
        <v>169</v>
      </c>
      <c r="CD2534" s="5" t="s">
        <v>839</v>
      </c>
      <c r="CE2534" t="s">
        <v>147</v>
      </c>
      <c r="CF2534" s="3">
        <v>45953</v>
      </c>
      <c r="CI2534">
        <v>1</v>
      </c>
      <c r="CJ2534">
        <v>1</v>
      </c>
      <c r="CK2534">
        <v>21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"080068674569"</f>
        <v>080068674569</v>
      </c>
      <c r="F2535" s="3">
        <v>45952</v>
      </c>
      <c r="G2535">
        <v>202607</v>
      </c>
      <c r="H2535" t="s">
        <v>79</v>
      </c>
      <c r="I2535" t="s">
        <v>80</v>
      </c>
      <c r="J2535" t="s">
        <v>91</v>
      </c>
      <c r="K2535" t="s">
        <v>78</v>
      </c>
      <c r="L2535" t="s">
        <v>300</v>
      </c>
      <c r="M2535" t="s">
        <v>301</v>
      </c>
      <c r="N2535" t="s">
        <v>523</v>
      </c>
      <c r="O2535" t="s">
        <v>82</v>
      </c>
      <c r="P2535" t="str">
        <f>"4170065368                    "</f>
        <v xml:space="preserve">4170065368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31.44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99.79</v>
      </c>
      <c r="BM2535">
        <v>14.97</v>
      </c>
      <c r="BN2535">
        <v>114.76</v>
      </c>
      <c r="BO2535">
        <v>114.76</v>
      </c>
      <c r="BQ2535" t="s">
        <v>524</v>
      </c>
      <c r="BR2535" t="s">
        <v>97</v>
      </c>
      <c r="BS2535" s="3">
        <v>45953</v>
      </c>
      <c r="BT2535" s="4">
        <v>0.42083333333333334</v>
      </c>
      <c r="BU2535" t="s">
        <v>2268</v>
      </c>
      <c r="BV2535" t="s">
        <v>86</v>
      </c>
      <c r="BY2535">
        <v>1200</v>
      </c>
      <c r="CC2535" t="s">
        <v>301</v>
      </c>
      <c r="CD2535">
        <v>1748</v>
      </c>
      <c r="CE2535" t="s">
        <v>147</v>
      </c>
      <c r="CF2535" s="3">
        <v>45954</v>
      </c>
      <c r="CI2535">
        <v>1</v>
      </c>
      <c r="CJ2535">
        <v>1</v>
      </c>
      <c r="CK2535">
        <v>24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"080068674622"</f>
        <v>080068674622</v>
      </c>
      <c r="F2536" s="3">
        <v>45952</v>
      </c>
      <c r="G2536">
        <v>202607</v>
      </c>
      <c r="H2536" t="s">
        <v>79</v>
      </c>
      <c r="I2536" t="s">
        <v>80</v>
      </c>
      <c r="J2536" t="s">
        <v>91</v>
      </c>
      <c r="K2536" t="s">
        <v>78</v>
      </c>
      <c r="L2536" t="s">
        <v>453</v>
      </c>
      <c r="M2536" t="s">
        <v>454</v>
      </c>
      <c r="N2536" t="s">
        <v>2432</v>
      </c>
      <c r="O2536" t="s">
        <v>95</v>
      </c>
      <c r="P2536" t="str">
        <f>"4170065569                    "</f>
        <v xml:space="preserve">4170065569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57.51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23</v>
      </c>
      <c r="BJ2536">
        <v>16.2</v>
      </c>
      <c r="BK2536">
        <v>23</v>
      </c>
      <c r="BL2536">
        <v>188.4</v>
      </c>
      <c r="BM2536">
        <v>28.26</v>
      </c>
      <c r="BN2536">
        <v>216.66</v>
      </c>
      <c r="BO2536">
        <v>216.66</v>
      </c>
      <c r="BQ2536" t="s">
        <v>2433</v>
      </c>
      <c r="BR2536" t="s">
        <v>97</v>
      </c>
      <c r="BS2536" s="3">
        <v>45953</v>
      </c>
      <c r="BT2536" s="4">
        <v>0.40138888888888891</v>
      </c>
      <c r="BU2536" t="s">
        <v>3096</v>
      </c>
      <c r="BV2536" t="s">
        <v>86</v>
      </c>
      <c r="BY2536">
        <v>81216</v>
      </c>
      <c r="CA2536" t="s">
        <v>742</v>
      </c>
      <c r="CC2536" t="s">
        <v>454</v>
      </c>
      <c r="CD2536">
        <v>3600</v>
      </c>
      <c r="CE2536" t="s">
        <v>2314</v>
      </c>
      <c r="CF2536" s="3">
        <v>45953</v>
      </c>
      <c r="CI2536">
        <v>1</v>
      </c>
      <c r="CJ2536">
        <v>1</v>
      </c>
      <c r="CK2536">
        <v>41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"080068674618"</f>
        <v>080068674618</v>
      </c>
      <c r="F2537" s="3">
        <v>45952</v>
      </c>
      <c r="G2537">
        <v>202607</v>
      </c>
      <c r="H2537" t="s">
        <v>79</v>
      </c>
      <c r="I2537" t="s">
        <v>80</v>
      </c>
      <c r="J2537" t="s">
        <v>91</v>
      </c>
      <c r="K2537" t="s">
        <v>78</v>
      </c>
      <c r="L2537" t="s">
        <v>322</v>
      </c>
      <c r="M2537" t="s">
        <v>322</v>
      </c>
      <c r="N2537" t="s">
        <v>483</v>
      </c>
      <c r="O2537" t="s">
        <v>82</v>
      </c>
      <c r="P2537" t="str">
        <f>"4170065419                    "</f>
        <v xml:space="preserve">4170065419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43.31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137.47</v>
      </c>
      <c r="BM2537">
        <v>20.62</v>
      </c>
      <c r="BN2537">
        <v>158.09</v>
      </c>
      <c r="BO2537">
        <v>158.09</v>
      </c>
      <c r="BQ2537" t="s">
        <v>486</v>
      </c>
      <c r="BR2537" t="s">
        <v>97</v>
      </c>
      <c r="BS2537" s="3">
        <v>45953</v>
      </c>
      <c r="BT2537" s="4">
        <v>0.53611111111111109</v>
      </c>
      <c r="BU2537" t="s">
        <v>485</v>
      </c>
      <c r="BV2537" t="s">
        <v>86</v>
      </c>
      <c r="BY2537">
        <v>1200</v>
      </c>
      <c r="CA2537" t="s">
        <v>326</v>
      </c>
      <c r="CC2537" t="s">
        <v>322</v>
      </c>
      <c r="CD2537">
        <v>7646</v>
      </c>
      <c r="CE2537" t="s">
        <v>147</v>
      </c>
      <c r="CF2537" s="3">
        <v>45954</v>
      </c>
      <c r="CI2537">
        <v>1</v>
      </c>
      <c r="CJ2537">
        <v>1</v>
      </c>
      <c r="CK2537">
        <v>23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"080068674661"</f>
        <v>080068674661</v>
      </c>
      <c r="F2538" s="3">
        <v>45952</v>
      </c>
      <c r="G2538">
        <v>202607</v>
      </c>
      <c r="H2538" t="s">
        <v>79</v>
      </c>
      <c r="I2538" t="s">
        <v>80</v>
      </c>
      <c r="J2538" t="s">
        <v>91</v>
      </c>
      <c r="K2538" t="s">
        <v>78</v>
      </c>
      <c r="L2538" t="s">
        <v>206</v>
      </c>
      <c r="M2538" t="s">
        <v>207</v>
      </c>
      <c r="N2538" t="s">
        <v>1827</v>
      </c>
      <c r="O2538" t="s">
        <v>82</v>
      </c>
      <c r="P2538" t="str">
        <f>"4170065430                    "</f>
        <v xml:space="preserve">4170065430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22.36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70.959999999999994</v>
      </c>
      <c r="BM2538">
        <v>10.64</v>
      </c>
      <c r="BN2538">
        <v>81.599999999999994</v>
      </c>
      <c r="BO2538">
        <v>81.599999999999994</v>
      </c>
      <c r="BQ2538" t="s">
        <v>1828</v>
      </c>
      <c r="BR2538" t="s">
        <v>97</v>
      </c>
      <c r="BS2538" s="3">
        <v>45953</v>
      </c>
      <c r="BT2538" s="4">
        <v>0.37291666666666667</v>
      </c>
      <c r="BU2538" t="s">
        <v>1829</v>
      </c>
      <c r="BV2538" t="s">
        <v>86</v>
      </c>
      <c r="BY2538">
        <v>1200</v>
      </c>
      <c r="CA2538" t="s">
        <v>415</v>
      </c>
      <c r="CC2538" t="s">
        <v>207</v>
      </c>
      <c r="CD2538">
        <v>7499</v>
      </c>
      <c r="CE2538" t="s">
        <v>147</v>
      </c>
      <c r="CF2538" s="3">
        <v>45954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"080068674664"</f>
        <v>080068674664</v>
      </c>
      <c r="F2539" s="3">
        <v>45952</v>
      </c>
      <c r="G2539">
        <v>202607</v>
      </c>
      <c r="H2539" t="s">
        <v>79</v>
      </c>
      <c r="I2539" t="s">
        <v>80</v>
      </c>
      <c r="J2539" t="s">
        <v>91</v>
      </c>
      <c r="K2539" t="s">
        <v>78</v>
      </c>
      <c r="L2539" t="s">
        <v>223</v>
      </c>
      <c r="M2539" t="s">
        <v>224</v>
      </c>
      <c r="N2539" t="s">
        <v>1019</v>
      </c>
      <c r="O2539" t="s">
        <v>226</v>
      </c>
      <c r="P2539" t="str">
        <f>"4170065483                    "</f>
        <v xml:space="preserve">4170065483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17.47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2</v>
      </c>
      <c r="BI2539">
        <v>8</v>
      </c>
      <c r="BJ2539">
        <v>5.9</v>
      </c>
      <c r="BK2539">
        <v>8</v>
      </c>
      <c r="BL2539">
        <v>55.44</v>
      </c>
      <c r="BM2539">
        <v>8.32</v>
      </c>
      <c r="BN2539">
        <v>63.76</v>
      </c>
      <c r="BO2539">
        <v>63.76</v>
      </c>
      <c r="BQ2539" t="s">
        <v>1020</v>
      </c>
      <c r="BR2539" t="s">
        <v>97</v>
      </c>
      <c r="BS2539" s="3">
        <v>45953</v>
      </c>
      <c r="BT2539" s="4">
        <v>0.38124999999999998</v>
      </c>
      <c r="BU2539" t="s">
        <v>2118</v>
      </c>
      <c r="BV2539" t="s">
        <v>86</v>
      </c>
      <c r="BY2539">
        <v>14848</v>
      </c>
      <c r="CA2539" t="s">
        <v>508</v>
      </c>
      <c r="CC2539" t="s">
        <v>224</v>
      </c>
      <c r="CD2539">
        <v>1459</v>
      </c>
      <c r="CE2539" t="s">
        <v>1088</v>
      </c>
      <c r="CF2539" s="3">
        <v>45953</v>
      </c>
      <c r="CI2539">
        <v>1</v>
      </c>
      <c r="CJ2539">
        <v>1</v>
      </c>
      <c r="CK2539">
        <v>32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"080068674705"</f>
        <v>080068674705</v>
      </c>
      <c r="F2540" s="3">
        <v>45952</v>
      </c>
      <c r="G2540">
        <v>202607</v>
      </c>
      <c r="H2540" t="s">
        <v>79</v>
      </c>
      <c r="I2540" t="s">
        <v>80</v>
      </c>
      <c r="J2540" t="s">
        <v>91</v>
      </c>
      <c r="K2540" t="s">
        <v>78</v>
      </c>
      <c r="L2540" t="s">
        <v>92</v>
      </c>
      <c r="M2540" t="s">
        <v>93</v>
      </c>
      <c r="N2540" t="s">
        <v>1871</v>
      </c>
      <c r="O2540" t="s">
        <v>82</v>
      </c>
      <c r="P2540" t="str">
        <f>"4170065552                    "</f>
        <v xml:space="preserve">4170065552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22.36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16.739999999999998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87.7</v>
      </c>
      <c r="BM2540">
        <v>13.16</v>
      </c>
      <c r="BN2540">
        <v>100.86</v>
      </c>
      <c r="BO2540">
        <v>100.86</v>
      </c>
      <c r="BQ2540" t="s">
        <v>1872</v>
      </c>
      <c r="BR2540" t="s">
        <v>97</v>
      </c>
      <c r="BS2540" s="3">
        <v>45953</v>
      </c>
      <c r="BT2540" s="4">
        <v>0.62847222222222221</v>
      </c>
      <c r="BU2540" t="s">
        <v>3088</v>
      </c>
      <c r="BV2540" t="s">
        <v>86</v>
      </c>
      <c r="BY2540">
        <v>1200</v>
      </c>
      <c r="BZ2540" t="s">
        <v>30</v>
      </c>
      <c r="CA2540" t="s">
        <v>1699</v>
      </c>
      <c r="CC2540" t="s">
        <v>93</v>
      </c>
      <c r="CD2540">
        <v>3699</v>
      </c>
      <c r="CE2540" t="s">
        <v>147</v>
      </c>
      <c r="CF2540" s="3">
        <v>45954</v>
      </c>
      <c r="CI2540">
        <v>1</v>
      </c>
      <c r="CJ2540">
        <v>1</v>
      </c>
      <c r="CK2540">
        <v>21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"080068674707"</f>
        <v>080068674707</v>
      </c>
      <c r="F2541" s="3">
        <v>45952</v>
      </c>
      <c r="G2541">
        <v>202607</v>
      </c>
      <c r="H2541" t="s">
        <v>79</v>
      </c>
      <c r="I2541" t="s">
        <v>80</v>
      </c>
      <c r="J2541" t="s">
        <v>91</v>
      </c>
      <c r="K2541" t="s">
        <v>78</v>
      </c>
      <c r="L2541" t="s">
        <v>239</v>
      </c>
      <c r="M2541" t="s">
        <v>240</v>
      </c>
      <c r="N2541" t="s">
        <v>526</v>
      </c>
      <c r="O2541" t="s">
        <v>82</v>
      </c>
      <c r="P2541" t="str">
        <f>"4170065334                    "</f>
        <v xml:space="preserve">4170065334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62.87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2.4</v>
      </c>
      <c r="BJ2541">
        <v>2.6</v>
      </c>
      <c r="BK2541">
        <v>3</v>
      </c>
      <c r="BL2541">
        <v>199.55</v>
      </c>
      <c r="BM2541">
        <v>29.93</v>
      </c>
      <c r="BN2541">
        <v>229.48</v>
      </c>
      <c r="BO2541">
        <v>229.48</v>
      </c>
      <c r="BQ2541" t="s">
        <v>527</v>
      </c>
      <c r="BR2541" t="s">
        <v>97</v>
      </c>
      <c r="BS2541" s="3">
        <v>45953</v>
      </c>
      <c r="BT2541" s="4">
        <v>0.43263888888888891</v>
      </c>
      <c r="BU2541" t="s">
        <v>528</v>
      </c>
      <c r="BV2541" t="s">
        <v>86</v>
      </c>
      <c r="BY2541">
        <v>12755.51</v>
      </c>
      <c r="CA2541" t="s">
        <v>3084</v>
      </c>
      <c r="CC2541" t="s">
        <v>240</v>
      </c>
      <c r="CD2541" s="5" t="s">
        <v>245</v>
      </c>
      <c r="CE2541" t="s">
        <v>107</v>
      </c>
      <c r="CF2541" s="3">
        <v>45954</v>
      </c>
      <c r="CI2541">
        <v>1</v>
      </c>
      <c r="CJ2541">
        <v>1</v>
      </c>
      <c r="CK2541">
        <v>23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"080068674753"</f>
        <v>080068674753</v>
      </c>
      <c r="F2542" s="3">
        <v>45952</v>
      </c>
      <c r="G2542">
        <v>202607</v>
      </c>
      <c r="H2542" t="s">
        <v>79</v>
      </c>
      <c r="I2542" t="s">
        <v>80</v>
      </c>
      <c r="J2542" t="s">
        <v>91</v>
      </c>
      <c r="K2542" t="s">
        <v>78</v>
      </c>
      <c r="L2542" t="s">
        <v>3097</v>
      </c>
      <c r="M2542" t="s">
        <v>3098</v>
      </c>
      <c r="N2542" t="s">
        <v>3099</v>
      </c>
      <c r="O2542" t="s">
        <v>82</v>
      </c>
      <c r="P2542" t="str">
        <f>"4170065507                    "</f>
        <v xml:space="preserve">4170065507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238.91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12</v>
      </c>
      <c r="BJ2542">
        <v>3.6</v>
      </c>
      <c r="BK2542">
        <v>12</v>
      </c>
      <c r="BL2542">
        <v>758.27</v>
      </c>
      <c r="BM2542">
        <v>113.74</v>
      </c>
      <c r="BN2542">
        <v>872.01</v>
      </c>
      <c r="BO2542">
        <v>872.01</v>
      </c>
      <c r="BQ2542" t="s">
        <v>3100</v>
      </c>
      <c r="BR2542" t="s">
        <v>97</v>
      </c>
      <c r="BS2542" s="3">
        <v>45954</v>
      </c>
      <c r="BT2542" s="4">
        <v>0.76388888888888884</v>
      </c>
      <c r="BU2542" t="s">
        <v>3101</v>
      </c>
      <c r="BV2542" t="s">
        <v>86</v>
      </c>
      <c r="BY2542">
        <v>18096</v>
      </c>
      <c r="CC2542" t="s">
        <v>3098</v>
      </c>
      <c r="CD2542">
        <v>5320</v>
      </c>
      <c r="CE2542" t="s">
        <v>191</v>
      </c>
      <c r="CF2542" s="3">
        <v>45954</v>
      </c>
      <c r="CI2542">
        <v>5</v>
      </c>
      <c r="CJ2542">
        <v>2</v>
      </c>
      <c r="CK2542">
        <v>23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"080068674761"</f>
        <v>080068674761</v>
      </c>
      <c r="F2543" s="3">
        <v>45952</v>
      </c>
      <c r="G2543">
        <v>202607</v>
      </c>
      <c r="H2543" t="s">
        <v>79</v>
      </c>
      <c r="I2543" t="s">
        <v>80</v>
      </c>
      <c r="J2543" t="s">
        <v>91</v>
      </c>
      <c r="K2543" t="s">
        <v>78</v>
      </c>
      <c r="L2543" t="s">
        <v>350</v>
      </c>
      <c r="M2543" t="s">
        <v>351</v>
      </c>
      <c r="N2543" t="s">
        <v>1908</v>
      </c>
      <c r="O2543" t="s">
        <v>82</v>
      </c>
      <c r="P2543" t="str">
        <f>"4170065512                    "</f>
        <v xml:space="preserve">4170065512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43.31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137.47</v>
      </c>
      <c r="BM2543">
        <v>20.62</v>
      </c>
      <c r="BN2543">
        <v>158.09</v>
      </c>
      <c r="BO2543">
        <v>158.09</v>
      </c>
      <c r="BQ2543" t="s">
        <v>1909</v>
      </c>
      <c r="BR2543" t="s">
        <v>97</v>
      </c>
      <c r="BS2543" s="3">
        <v>45953</v>
      </c>
      <c r="BT2543" s="4">
        <v>0.42430555555555555</v>
      </c>
      <c r="BU2543" t="s">
        <v>3102</v>
      </c>
      <c r="BV2543" t="s">
        <v>86</v>
      </c>
      <c r="BY2543">
        <v>1200</v>
      </c>
      <c r="CA2543" t="s">
        <v>355</v>
      </c>
      <c r="CC2543" t="s">
        <v>351</v>
      </c>
      <c r="CD2543" s="5" t="s">
        <v>1911</v>
      </c>
      <c r="CE2543" t="s">
        <v>147</v>
      </c>
      <c r="CF2543" s="3">
        <v>45954</v>
      </c>
      <c r="CI2543">
        <v>1</v>
      </c>
      <c r="CJ2543">
        <v>1</v>
      </c>
      <c r="CK2543">
        <v>23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"080068674803"</f>
        <v>080068674803</v>
      </c>
      <c r="F2544" s="3">
        <v>45952</v>
      </c>
      <c r="G2544">
        <v>202607</v>
      </c>
      <c r="H2544" t="s">
        <v>79</v>
      </c>
      <c r="I2544" t="s">
        <v>80</v>
      </c>
      <c r="J2544" t="s">
        <v>91</v>
      </c>
      <c r="K2544" t="s">
        <v>78</v>
      </c>
      <c r="L2544" t="s">
        <v>271</v>
      </c>
      <c r="M2544" t="s">
        <v>272</v>
      </c>
      <c r="N2544" t="s">
        <v>1428</v>
      </c>
      <c r="O2544" t="s">
        <v>226</v>
      </c>
      <c r="P2544" t="str">
        <f>"4170065492                    "</f>
        <v xml:space="preserve">4170065492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17.47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4.9000000000000004</v>
      </c>
      <c r="BK2544">
        <v>5</v>
      </c>
      <c r="BL2544">
        <v>55.44</v>
      </c>
      <c r="BM2544">
        <v>8.32</v>
      </c>
      <c r="BN2544">
        <v>63.76</v>
      </c>
      <c r="BO2544">
        <v>63.76</v>
      </c>
      <c r="BQ2544" t="s">
        <v>1429</v>
      </c>
      <c r="BR2544" t="s">
        <v>97</v>
      </c>
      <c r="BS2544" s="3">
        <v>45953</v>
      </c>
      <c r="BT2544" s="4">
        <v>0.3298611111111111</v>
      </c>
      <c r="BU2544" t="s">
        <v>3103</v>
      </c>
      <c r="BV2544" t="s">
        <v>86</v>
      </c>
      <c r="BY2544">
        <v>24640</v>
      </c>
      <c r="CA2544" t="s">
        <v>3033</v>
      </c>
      <c r="CC2544" t="s">
        <v>272</v>
      </c>
      <c r="CD2544">
        <v>1406</v>
      </c>
      <c r="CE2544" t="s">
        <v>107</v>
      </c>
      <c r="CF2544" s="3">
        <v>45954</v>
      </c>
      <c r="CI2544">
        <v>1</v>
      </c>
      <c r="CJ2544">
        <v>1</v>
      </c>
      <c r="CK2544">
        <v>32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"080068674809"</f>
        <v>080068674809</v>
      </c>
      <c r="F2545" s="3">
        <v>45952</v>
      </c>
      <c r="G2545">
        <v>202607</v>
      </c>
      <c r="H2545" t="s">
        <v>79</v>
      </c>
      <c r="I2545" t="s">
        <v>80</v>
      </c>
      <c r="J2545" t="s">
        <v>91</v>
      </c>
      <c r="K2545" t="s">
        <v>78</v>
      </c>
      <c r="L2545" t="s">
        <v>108</v>
      </c>
      <c r="M2545" t="s">
        <v>109</v>
      </c>
      <c r="N2545" t="s">
        <v>379</v>
      </c>
      <c r="O2545" t="s">
        <v>82</v>
      </c>
      <c r="P2545" t="str">
        <f>"4170065541                    "</f>
        <v xml:space="preserve">4170065541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22.36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70.959999999999994</v>
      </c>
      <c r="BM2545">
        <v>10.64</v>
      </c>
      <c r="BN2545">
        <v>81.599999999999994</v>
      </c>
      <c r="BO2545">
        <v>81.599999999999994</v>
      </c>
      <c r="BQ2545" t="s">
        <v>380</v>
      </c>
      <c r="BR2545" t="s">
        <v>97</v>
      </c>
      <c r="BS2545" s="3">
        <v>45953</v>
      </c>
      <c r="BT2545" s="4">
        <v>0.43611111111111112</v>
      </c>
      <c r="BU2545" t="s">
        <v>381</v>
      </c>
      <c r="BV2545" t="s">
        <v>86</v>
      </c>
      <c r="BY2545">
        <v>1200</v>
      </c>
      <c r="CA2545" t="s">
        <v>113</v>
      </c>
      <c r="CC2545" t="s">
        <v>109</v>
      </c>
      <c r="CD2545">
        <v>6001</v>
      </c>
      <c r="CE2545" t="s">
        <v>147</v>
      </c>
      <c r="CF2545" s="3">
        <v>45953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"080068674865"</f>
        <v>080068674865</v>
      </c>
      <c r="F2546" s="3">
        <v>45952</v>
      </c>
      <c r="G2546">
        <v>202607</v>
      </c>
      <c r="H2546" t="s">
        <v>79</v>
      </c>
      <c r="I2546" t="s">
        <v>80</v>
      </c>
      <c r="J2546" t="s">
        <v>91</v>
      </c>
      <c r="K2546" t="s">
        <v>78</v>
      </c>
      <c r="L2546" t="s">
        <v>108</v>
      </c>
      <c r="M2546" t="s">
        <v>109</v>
      </c>
      <c r="N2546" t="s">
        <v>139</v>
      </c>
      <c r="O2546" t="s">
        <v>82</v>
      </c>
      <c r="P2546" t="str">
        <f>"4170065426                    "</f>
        <v xml:space="preserve">4170065426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22.36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70.959999999999994</v>
      </c>
      <c r="BM2546">
        <v>10.64</v>
      </c>
      <c r="BN2546">
        <v>81.599999999999994</v>
      </c>
      <c r="BO2546">
        <v>81.599999999999994</v>
      </c>
      <c r="BQ2546" t="s">
        <v>140</v>
      </c>
      <c r="BR2546" t="s">
        <v>97</v>
      </c>
      <c r="BS2546" s="3">
        <v>45953</v>
      </c>
      <c r="BT2546" s="4">
        <v>0.39027777777777778</v>
      </c>
      <c r="BU2546" t="s">
        <v>3104</v>
      </c>
      <c r="BV2546" t="s">
        <v>86</v>
      </c>
      <c r="BY2546">
        <v>1200</v>
      </c>
      <c r="CA2546" t="s">
        <v>142</v>
      </c>
      <c r="CC2546" t="s">
        <v>109</v>
      </c>
      <c r="CD2546">
        <v>6001</v>
      </c>
      <c r="CE2546" t="s">
        <v>147</v>
      </c>
      <c r="CF2546" s="3">
        <v>45953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"080068674919"</f>
        <v>080068674919</v>
      </c>
      <c r="F2547" s="3">
        <v>45952</v>
      </c>
      <c r="G2547">
        <v>202607</v>
      </c>
      <c r="H2547" t="s">
        <v>79</v>
      </c>
      <c r="I2547" t="s">
        <v>80</v>
      </c>
      <c r="J2547" t="s">
        <v>91</v>
      </c>
      <c r="K2547" t="s">
        <v>78</v>
      </c>
      <c r="L2547" t="s">
        <v>92</v>
      </c>
      <c r="M2547" t="s">
        <v>93</v>
      </c>
      <c r="N2547" t="s">
        <v>597</v>
      </c>
      <c r="O2547" t="s">
        <v>82</v>
      </c>
      <c r="P2547" t="str">
        <f>"4170065362                    "</f>
        <v xml:space="preserve">4170065362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22.36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70.959999999999994</v>
      </c>
      <c r="BM2547">
        <v>10.64</v>
      </c>
      <c r="BN2547">
        <v>81.599999999999994</v>
      </c>
      <c r="BO2547">
        <v>81.599999999999994</v>
      </c>
      <c r="BQ2547" t="s">
        <v>598</v>
      </c>
      <c r="BR2547" t="s">
        <v>97</v>
      </c>
      <c r="BS2547" s="3">
        <v>45953</v>
      </c>
      <c r="BT2547" s="4">
        <v>0.41736111111111113</v>
      </c>
      <c r="BU2547" t="s">
        <v>599</v>
      </c>
      <c r="BV2547" t="s">
        <v>86</v>
      </c>
      <c r="BY2547">
        <v>1200</v>
      </c>
      <c r="CA2547" t="s">
        <v>600</v>
      </c>
      <c r="CC2547" t="s">
        <v>93</v>
      </c>
      <c r="CD2547">
        <v>3201</v>
      </c>
      <c r="CE2547" t="s">
        <v>147</v>
      </c>
      <c r="CF2547" s="3">
        <v>45954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"080068675530"</f>
        <v>080068675530</v>
      </c>
      <c r="F2548" s="3">
        <v>45952</v>
      </c>
      <c r="G2548">
        <v>202607</v>
      </c>
      <c r="H2548" t="s">
        <v>79</v>
      </c>
      <c r="I2548" t="s">
        <v>80</v>
      </c>
      <c r="J2548" t="s">
        <v>91</v>
      </c>
      <c r="K2548" t="s">
        <v>78</v>
      </c>
      <c r="L2548" t="s">
        <v>168</v>
      </c>
      <c r="M2548" t="s">
        <v>169</v>
      </c>
      <c r="N2548" t="s">
        <v>976</v>
      </c>
      <c r="O2548" t="s">
        <v>82</v>
      </c>
      <c r="P2548" t="str">
        <f>"4170065598                    "</f>
        <v xml:space="preserve">4170065598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22.36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70.959999999999994</v>
      </c>
      <c r="BM2548">
        <v>10.64</v>
      </c>
      <c r="BN2548">
        <v>81.599999999999994</v>
      </c>
      <c r="BO2548">
        <v>81.599999999999994</v>
      </c>
      <c r="BQ2548" t="s">
        <v>977</v>
      </c>
      <c r="BR2548" t="s">
        <v>97</v>
      </c>
      <c r="BS2548" s="3">
        <v>45953</v>
      </c>
      <c r="BT2548" s="4">
        <v>0.50208333333333333</v>
      </c>
      <c r="BU2548" t="s">
        <v>2891</v>
      </c>
      <c r="BV2548" t="s">
        <v>90</v>
      </c>
      <c r="BW2548" t="s">
        <v>188</v>
      </c>
      <c r="BX2548" t="s">
        <v>215</v>
      </c>
      <c r="BY2548">
        <v>1200</v>
      </c>
      <c r="CA2548" s="5" t="s">
        <v>2424</v>
      </c>
      <c r="CC2548" t="s">
        <v>169</v>
      </c>
      <c r="CD2548" s="5" t="s">
        <v>979</v>
      </c>
      <c r="CE2548" t="s">
        <v>147</v>
      </c>
      <c r="CF2548" s="3">
        <v>45953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"080068675569"</f>
        <v>080068675569</v>
      </c>
      <c r="F2549" s="3">
        <v>45952</v>
      </c>
      <c r="G2549">
        <v>202607</v>
      </c>
      <c r="H2549" t="s">
        <v>79</v>
      </c>
      <c r="I2549" t="s">
        <v>80</v>
      </c>
      <c r="J2549" t="s">
        <v>91</v>
      </c>
      <c r="K2549" t="s">
        <v>78</v>
      </c>
      <c r="L2549" t="s">
        <v>148</v>
      </c>
      <c r="M2549" t="s">
        <v>149</v>
      </c>
      <c r="N2549" t="s">
        <v>685</v>
      </c>
      <c r="O2549" t="s">
        <v>82</v>
      </c>
      <c r="P2549" t="str">
        <f>"4170065580                    "</f>
        <v xml:space="preserve">4170065580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17.46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55.42</v>
      </c>
      <c r="BM2549">
        <v>8.31</v>
      </c>
      <c r="BN2549">
        <v>63.73</v>
      </c>
      <c r="BO2549">
        <v>63.73</v>
      </c>
      <c r="BQ2549" t="s">
        <v>686</v>
      </c>
      <c r="BR2549" t="s">
        <v>97</v>
      </c>
      <c r="BS2549" s="3">
        <v>45953</v>
      </c>
      <c r="BT2549" s="4">
        <v>0.38958333333333334</v>
      </c>
      <c r="BU2549" t="s">
        <v>902</v>
      </c>
      <c r="BV2549" t="s">
        <v>86</v>
      </c>
      <c r="BY2549">
        <v>1200</v>
      </c>
      <c r="CA2549" t="s">
        <v>904</v>
      </c>
      <c r="CC2549" t="s">
        <v>149</v>
      </c>
      <c r="CD2549">
        <v>2169</v>
      </c>
      <c r="CE2549" t="s">
        <v>147</v>
      </c>
      <c r="CF2549" s="3">
        <v>45954</v>
      </c>
      <c r="CI2549">
        <v>1</v>
      </c>
      <c r="CJ2549">
        <v>1</v>
      </c>
      <c r="CK2549">
        <v>22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"080068675612"</f>
        <v>080068675612</v>
      </c>
      <c r="F2550" s="3">
        <v>45952</v>
      </c>
      <c r="G2550">
        <v>202607</v>
      </c>
      <c r="H2550" t="s">
        <v>79</v>
      </c>
      <c r="I2550" t="s">
        <v>80</v>
      </c>
      <c r="J2550" t="s">
        <v>91</v>
      </c>
      <c r="K2550" t="s">
        <v>78</v>
      </c>
      <c r="L2550" t="s">
        <v>206</v>
      </c>
      <c r="M2550" t="s">
        <v>207</v>
      </c>
      <c r="N2550" t="s">
        <v>427</v>
      </c>
      <c r="O2550" t="s">
        <v>82</v>
      </c>
      <c r="P2550" t="str">
        <f>"4170065392                    "</f>
        <v xml:space="preserve">4170065392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22.36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70.959999999999994</v>
      </c>
      <c r="BM2550">
        <v>10.64</v>
      </c>
      <c r="BN2550">
        <v>81.599999999999994</v>
      </c>
      <c r="BO2550">
        <v>81.599999999999994</v>
      </c>
      <c r="BQ2550" t="s">
        <v>428</v>
      </c>
      <c r="BR2550" t="s">
        <v>97</v>
      </c>
      <c r="BS2550" s="3">
        <v>45953</v>
      </c>
      <c r="BT2550" s="4">
        <v>0.31944444444444442</v>
      </c>
      <c r="BU2550" t="s">
        <v>3061</v>
      </c>
      <c r="BV2550" t="s">
        <v>86</v>
      </c>
      <c r="BY2550">
        <v>1200</v>
      </c>
      <c r="CA2550" t="s">
        <v>785</v>
      </c>
      <c r="CC2550" t="s">
        <v>207</v>
      </c>
      <c r="CD2550">
        <v>7530</v>
      </c>
      <c r="CE2550" t="s">
        <v>147</v>
      </c>
      <c r="CF2550" s="3">
        <v>45954</v>
      </c>
      <c r="CI2550">
        <v>1</v>
      </c>
      <c r="CJ2550">
        <v>1</v>
      </c>
      <c r="CK2550">
        <v>21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"080068675658"</f>
        <v>080068675658</v>
      </c>
      <c r="F2551" s="3">
        <v>45952</v>
      </c>
      <c r="G2551">
        <v>202607</v>
      </c>
      <c r="H2551" t="s">
        <v>79</v>
      </c>
      <c r="I2551" t="s">
        <v>80</v>
      </c>
      <c r="J2551" t="s">
        <v>91</v>
      </c>
      <c r="K2551" t="s">
        <v>78</v>
      </c>
      <c r="L2551" t="s">
        <v>265</v>
      </c>
      <c r="M2551" t="s">
        <v>266</v>
      </c>
      <c r="N2551" t="s">
        <v>1033</v>
      </c>
      <c r="O2551" t="s">
        <v>82</v>
      </c>
      <c r="P2551" t="str">
        <f>"4170065588                    "</f>
        <v xml:space="preserve">4170065588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22.36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70.959999999999994</v>
      </c>
      <c r="BM2551">
        <v>10.64</v>
      </c>
      <c r="BN2551">
        <v>81.599999999999994</v>
      </c>
      <c r="BO2551">
        <v>81.599999999999994</v>
      </c>
      <c r="BQ2551" t="s">
        <v>1034</v>
      </c>
      <c r="BR2551" t="s">
        <v>97</v>
      </c>
      <c r="BS2551" s="3">
        <v>45953</v>
      </c>
      <c r="BT2551" s="4">
        <v>0.33333333333333331</v>
      </c>
      <c r="BU2551" t="s">
        <v>1992</v>
      </c>
      <c r="BV2551" t="s">
        <v>86</v>
      </c>
      <c r="BY2551">
        <v>1200</v>
      </c>
      <c r="CA2551" t="s">
        <v>818</v>
      </c>
      <c r="CC2551" t="s">
        <v>266</v>
      </c>
      <c r="CD2551">
        <v>6230</v>
      </c>
      <c r="CE2551" t="s">
        <v>147</v>
      </c>
      <c r="CF2551" s="3">
        <v>45953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"080068675683"</f>
        <v>080068675683</v>
      </c>
      <c r="F2552" s="3">
        <v>45952</v>
      </c>
      <c r="G2552">
        <v>202607</v>
      </c>
      <c r="H2552" t="s">
        <v>79</v>
      </c>
      <c r="I2552" t="s">
        <v>80</v>
      </c>
      <c r="J2552" t="s">
        <v>91</v>
      </c>
      <c r="K2552" t="s">
        <v>78</v>
      </c>
      <c r="L2552" t="s">
        <v>453</v>
      </c>
      <c r="M2552" t="s">
        <v>454</v>
      </c>
      <c r="N2552" t="s">
        <v>665</v>
      </c>
      <c r="O2552" t="s">
        <v>82</v>
      </c>
      <c r="P2552" t="str">
        <f>"4170065390                    "</f>
        <v xml:space="preserve">4170065390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22.36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70.959999999999994</v>
      </c>
      <c r="BM2552">
        <v>10.64</v>
      </c>
      <c r="BN2552">
        <v>81.599999999999994</v>
      </c>
      <c r="BO2552">
        <v>81.599999999999994</v>
      </c>
      <c r="BQ2552" t="s">
        <v>666</v>
      </c>
      <c r="BR2552" t="s">
        <v>97</v>
      </c>
      <c r="BS2552" s="3">
        <v>45953</v>
      </c>
      <c r="BT2552" s="4">
        <v>0.44027777777777777</v>
      </c>
      <c r="BU2552" t="s">
        <v>3105</v>
      </c>
      <c r="BV2552" t="s">
        <v>86</v>
      </c>
      <c r="BY2552">
        <v>1200</v>
      </c>
      <c r="CA2552" t="s">
        <v>742</v>
      </c>
      <c r="CC2552" t="s">
        <v>454</v>
      </c>
      <c r="CD2552">
        <v>3610</v>
      </c>
      <c r="CE2552" t="s">
        <v>147</v>
      </c>
      <c r="CF2552" s="3">
        <v>45953</v>
      </c>
      <c r="CI2552">
        <v>1</v>
      </c>
      <c r="CJ2552">
        <v>1</v>
      </c>
      <c r="CK2552">
        <v>21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"080068675705"</f>
        <v>080068675705</v>
      </c>
      <c r="F2553" s="3">
        <v>45952</v>
      </c>
      <c r="G2553">
        <v>202607</v>
      </c>
      <c r="H2553" t="s">
        <v>79</v>
      </c>
      <c r="I2553" t="s">
        <v>80</v>
      </c>
      <c r="J2553" t="s">
        <v>91</v>
      </c>
      <c r="K2553" t="s">
        <v>78</v>
      </c>
      <c r="L2553" t="s">
        <v>121</v>
      </c>
      <c r="M2553" t="s">
        <v>122</v>
      </c>
      <c r="N2553" t="s">
        <v>123</v>
      </c>
      <c r="O2553" t="s">
        <v>82</v>
      </c>
      <c r="P2553" t="str">
        <f>"4170064820                    "</f>
        <v xml:space="preserve">4170064820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44.69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3</v>
      </c>
      <c r="BJ2553">
        <v>3.9</v>
      </c>
      <c r="BK2553">
        <v>4</v>
      </c>
      <c r="BL2553">
        <v>141.85</v>
      </c>
      <c r="BM2553">
        <v>21.28</v>
      </c>
      <c r="BN2553">
        <v>163.13</v>
      </c>
      <c r="BO2553">
        <v>163.13</v>
      </c>
      <c r="BQ2553" t="s">
        <v>124</v>
      </c>
      <c r="BR2553" t="s">
        <v>97</v>
      </c>
      <c r="BS2553" s="3">
        <v>45953</v>
      </c>
      <c r="BT2553" s="4">
        <v>0.33680555555555558</v>
      </c>
      <c r="BU2553" t="s">
        <v>125</v>
      </c>
      <c r="BV2553" t="s">
        <v>86</v>
      </c>
      <c r="BY2553">
        <v>19456</v>
      </c>
      <c r="CA2553" t="s">
        <v>126</v>
      </c>
      <c r="CC2553" t="s">
        <v>122</v>
      </c>
      <c r="CD2553">
        <v>4051</v>
      </c>
      <c r="CE2553" t="s">
        <v>107</v>
      </c>
      <c r="CF2553" s="3">
        <v>45953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"080068675720"</f>
        <v>080068675720</v>
      </c>
      <c r="F2554" s="3">
        <v>45952</v>
      </c>
      <c r="G2554">
        <v>202607</v>
      </c>
      <c r="H2554" t="s">
        <v>79</v>
      </c>
      <c r="I2554" t="s">
        <v>80</v>
      </c>
      <c r="J2554" t="s">
        <v>91</v>
      </c>
      <c r="K2554" t="s">
        <v>78</v>
      </c>
      <c r="L2554" t="s">
        <v>1095</v>
      </c>
      <c r="M2554" t="s">
        <v>1096</v>
      </c>
      <c r="N2554" t="s">
        <v>1197</v>
      </c>
      <c r="O2554" t="s">
        <v>82</v>
      </c>
      <c r="P2554" t="str">
        <f>"4170065557                    "</f>
        <v xml:space="preserve">4170065557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43.31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137.47</v>
      </c>
      <c r="BM2554">
        <v>20.62</v>
      </c>
      <c r="BN2554">
        <v>158.09</v>
      </c>
      <c r="BO2554">
        <v>158.09</v>
      </c>
      <c r="BQ2554" t="s">
        <v>1198</v>
      </c>
      <c r="BR2554" t="s">
        <v>97</v>
      </c>
      <c r="BS2554" s="3">
        <v>45953</v>
      </c>
      <c r="BT2554" s="4">
        <v>0.43402777777777779</v>
      </c>
      <c r="BU2554" t="s">
        <v>3106</v>
      </c>
      <c r="BV2554" t="s">
        <v>86</v>
      </c>
      <c r="BY2554">
        <v>1200</v>
      </c>
      <c r="CA2554" t="s">
        <v>3076</v>
      </c>
      <c r="CC2554" t="s">
        <v>1096</v>
      </c>
      <c r="CD2554">
        <v>2302</v>
      </c>
      <c r="CE2554" t="s">
        <v>147</v>
      </c>
      <c r="CF2554" s="3">
        <v>45954</v>
      </c>
      <c r="CI2554">
        <v>1</v>
      </c>
      <c r="CJ2554">
        <v>1</v>
      </c>
      <c r="CK2554">
        <v>23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"080068675749"</f>
        <v>080068675749</v>
      </c>
      <c r="F2555" s="3">
        <v>45952</v>
      </c>
      <c r="G2555">
        <v>202607</v>
      </c>
      <c r="H2555" t="s">
        <v>79</v>
      </c>
      <c r="I2555" t="s">
        <v>80</v>
      </c>
      <c r="J2555" t="s">
        <v>91</v>
      </c>
      <c r="K2555" t="s">
        <v>78</v>
      </c>
      <c r="L2555" t="s">
        <v>148</v>
      </c>
      <c r="M2555" t="s">
        <v>149</v>
      </c>
      <c r="N2555" t="s">
        <v>465</v>
      </c>
      <c r="O2555" t="s">
        <v>95</v>
      </c>
      <c r="P2555" t="str">
        <f>"4170065486                    "</f>
        <v xml:space="preserve">4170065486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38.24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2</v>
      </c>
      <c r="BI2555">
        <v>20</v>
      </c>
      <c r="BJ2555">
        <v>7.9</v>
      </c>
      <c r="BK2555">
        <v>20</v>
      </c>
      <c r="BL2555">
        <v>127.23</v>
      </c>
      <c r="BM2555">
        <v>19.079999999999998</v>
      </c>
      <c r="BN2555">
        <v>146.31</v>
      </c>
      <c r="BO2555">
        <v>146.31</v>
      </c>
      <c r="BQ2555" t="s">
        <v>466</v>
      </c>
      <c r="BR2555" t="s">
        <v>97</v>
      </c>
      <c r="BS2555" s="3">
        <v>45953</v>
      </c>
      <c r="BT2555" s="4">
        <v>0.41666666666666669</v>
      </c>
      <c r="BU2555" t="s">
        <v>1658</v>
      </c>
      <c r="BV2555" t="s">
        <v>86</v>
      </c>
      <c r="BY2555">
        <v>19656</v>
      </c>
      <c r="CA2555" t="s">
        <v>2853</v>
      </c>
      <c r="CC2555" t="s">
        <v>149</v>
      </c>
      <c r="CD2555">
        <v>2094</v>
      </c>
      <c r="CE2555" t="s">
        <v>1088</v>
      </c>
      <c r="CF2555" s="3">
        <v>45954</v>
      </c>
      <c r="CI2555">
        <v>1</v>
      </c>
      <c r="CJ2555">
        <v>1</v>
      </c>
      <c r="CK2555">
        <v>42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"080068675761"</f>
        <v>080068675761</v>
      </c>
      <c r="F2556" s="3">
        <v>45952</v>
      </c>
      <c r="G2556">
        <v>202607</v>
      </c>
      <c r="H2556" t="s">
        <v>79</v>
      </c>
      <c r="I2556" t="s">
        <v>80</v>
      </c>
      <c r="J2556" t="s">
        <v>91</v>
      </c>
      <c r="K2556" t="s">
        <v>78</v>
      </c>
      <c r="L2556" t="s">
        <v>92</v>
      </c>
      <c r="M2556" t="s">
        <v>93</v>
      </c>
      <c r="N2556" t="s">
        <v>597</v>
      </c>
      <c r="O2556" t="s">
        <v>82</v>
      </c>
      <c r="P2556" t="str">
        <f>"4170065540                    "</f>
        <v xml:space="preserve">4170065540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22.36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70.959999999999994</v>
      </c>
      <c r="BM2556">
        <v>10.64</v>
      </c>
      <c r="BN2556">
        <v>81.599999999999994</v>
      </c>
      <c r="BO2556">
        <v>81.599999999999994</v>
      </c>
      <c r="BQ2556" t="s">
        <v>598</v>
      </c>
      <c r="BR2556" t="s">
        <v>97</v>
      </c>
      <c r="BS2556" s="3">
        <v>45953</v>
      </c>
      <c r="BT2556" s="4">
        <v>0.41736111111111113</v>
      </c>
      <c r="BU2556" t="s">
        <v>599</v>
      </c>
      <c r="BV2556" t="s">
        <v>86</v>
      </c>
      <c r="BY2556">
        <v>1200</v>
      </c>
      <c r="CA2556" t="s">
        <v>600</v>
      </c>
      <c r="CC2556" t="s">
        <v>93</v>
      </c>
      <c r="CD2556">
        <v>3201</v>
      </c>
      <c r="CE2556" t="s">
        <v>147</v>
      </c>
      <c r="CF2556" s="3">
        <v>45954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"080068675799"</f>
        <v>080068675799</v>
      </c>
      <c r="F2557" s="3">
        <v>45952</v>
      </c>
      <c r="G2557">
        <v>202607</v>
      </c>
      <c r="H2557" t="s">
        <v>79</v>
      </c>
      <c r="I2557" t="s">
        <v>80</v>
      </c>
      <c r="J2557" t="s">
        <v>91</v>
      </c>
      <c r="K2557" t="s">
        <v>78</v>
      </c>
      <c r="L2557" t="s">
        <v>223</v>
      </c>
      <c r="M2557" t="s">
        <v>224</v>
      </c>
      <c r="N2557" t="s">
        <v>1968</v>
      </c>
      <c r="O2557" t="s">
        <v>82</v>
      </c>
      <c r="P2557" t="str">
        <f>"4170065566                    "</f>
        <v xml:space="preserve">4170065566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17.46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55.42</v>
      </c>
      <c r="BM2557">
        <v>8.31</v>
      </c>
      <c r="BN2557">
        <v>63.73</v>
      </c>
      <c r="BO2557">
        <v>63.73</v>
      </c>
      <c r="BQ2557" t="s">
        <v>1969</v>
      </c>
      <c r="BR2557" t="s">
        <v>97</v>
      </c>
      <c r="BS2557" s="3">
        <v>45953</v>
      </c>
      <c r="BT2557" s="4">
        <v>0.32430555555555557</v>
      </c>
      <c r="BU2557" t="s">
        <v>3107</v>
      </c>
      <c r="BV2557" t="s">
        <v>86</v>
      </c>
      <c r="BY2557">
        <v>1200</v>
      </c>
      <c r="CA2557" t="s">
        <v>1110</v>
      </c>
      <c r="CC2557" t="s">
        <v>224</v>
      </c>
      <c r="CD2557">
        <v>1460</v>
      </c>
      <c r="CE2557" t="s">
        <v>147</v>
      </c>
      <c r="CF2557" s="3">
        <v>45953</v>
      </c>
      <c r="CI2557">
        <v>1</v>
      </c>
      <c r="CJ2557">
        <v>1</v>
      </c>
      <c r="CK2557">
        <v>22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"080068675808"</f>
        <v>080068675808</v>
      </c>
      <c r="F2558" s="3">
        <v>45952</v>
      </c>
      <c r="G2558">
        <v>202607</v>
      </c>
      <c r="H2558" t="s">
        <v>79</v>
      </c>
      <c r="I2558" t="s">
        <v>80</v>
      </c>
      <c r="J2558" t="s">
        <v>91</v>
      </c>
      <c r="K2558" t="s">
        <v>78</v>
      </c>
      <c r="L2558" t="s">
        <v>453</v>
      </c>
      <c r="M2558" t="s">
        <v>454</v>
      </c>
      <c r="N2558" t="s">
        <v>2432</v>
      </c>
      <c r="O2558" t="s">
        <v>82</v>
      </c>
      <c r="P2558" t="str">
        <f>"4170065551                    "</f>
        <v xml:space="preserve">4170065551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22.36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1.9</v>
      </c>
      <c r="BK2558">
        <v>2</v>
      </c>
      <c r="BL2558">
        <v>70.959999999999994</v>
      </c>
      <c r="BM2558">
        <v>10.64</v>
      </c>
      <c r="BN2558">
        <v>81.599999999999994</v>
      </c>
      <c r="BO2558">
        <v>81.599999999999994</v>
      </c>
      <c r="BQ2558" t="s">
        <v>2433</v>
      </c>
      <c r="BR2558" t="s">
        <v>97</v>
      </c>
      <c r="BS2558" s="3">
        <v>45953</v>
      </c>
      <c r="BT2558" s="4">
        <v>0.40069444444444446</v>
      </c>
      <c r="BU2558" t="s">
        <v>3096</v>
      </c>
      <c r="BV2558" t="s">
        <v>86</v>
      </c>
      <c r="BY2558">
        <v>9600</v>
      </c>
      <c r="CA2558" t="s">
        <v>742</v>
      </c>
      <c r="CC2558" t="s">
        <v>454</v>
      </c>
      <c r="CD2558">
        <v>3600</v>
      </c>
      <c r="CE2558" t="s">
        <v>191</v>
      </c>
      <c r="CF2558" s="3">
        <v>45953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"080068675846"</f>
        <v>080068675846</v>
      </c>
      <c r="F2559" s="3">
        <v>45952</v>
      </c>
      <c r="G2559">
        <v>202607</v>
      </c>
      <c r="H2559" t="s">
        <v>79</v>
      </c>
      <c r="I2559" t="s">
        <v>80</v>
      </c>
      <c r="J2559" t="s">
        <v>91</v>
      </c>
      <c r="K2559" t="s">
        <v>78</v>
      </c>
      <c r="L2559" t="s">
        <v>148</v>
      </c>
      <c r="M2559" t="s">
        <v>149</v>
      </c>
      <c r="N2559" t="s">
        <v>685</v>
      </c>
      <c r="O2559" t="s">
        <v>82</v>
      </c>
      <c r="P2559" t="str">
        <f>"4170065565                    "</f>
        <v xml:space="preserve">4170065565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17.46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2</v>
      </c>
      <c r="BJ2559">
        <v>1.9</v>
      </c>
      <c r="BK2559">
        <v>2</v>
      </c>
      <c r="BL2559">
        <v>55.42</v>
      </c>
      <c r="BM2559">
        <v>8.31</v>
      </c>
      <c r="BN2559">
        <v>63.73</v>
      </c>
      <c r="BO2559">
        <v>63.73</v>
      </c>
      <c r="BQ2559" t="s">
        <v>686</v>
      </c>
      <c r="BR2559" t="s">
        <v>97</v>
      </c>
      <c r="BS2559" s="3">
        <v>45953</v>
      </c>
      <c r="BT2559" s="4">
        <v>0.3888888888888889</v>
      </c>
      <c r="BU2559" t="s">
        <v>902</v>
      </c>
      <c r="BV2559" t="s">
        <v>86</v>
      </c>
      <c r="BY2559">
        <v>9600</v>
      </c>
      <c r="CA2559" t="s">
        <v>904</v>
      </c>
      <c r="CC2559" t="s">
        <v>149</v>
      </c>
      <c r="CD2559">
        <v>2169</v>
      </c>
      <c r="CE2559" t="s">
        <v>191</v>
      </c>
      <c r="CF2559" s="3">
        <v>45954</v>
      </c>
      <c r="CI2559">
        <v>1</v>
      </c>
      <c r="CJ2559">
        <v>1</v>
      </c>
      <c r="CK2559">
        <v>22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"080068675844"</f>
        <v>080068675844</v>
      </c>
      <c r="F2560" s="3">
        <v>45952</v>
      </c>
      <c r="G2560">
        <v>202607</v>
      </c>
      <c r="H2560" t="s">
        <v>79</v>
      </c>
      <c r="I2560" t="s">
        <v>80</v>
      </c>
      <c r="J2560" t="s">
        <v>91</v>
      </c>
      <c r="K2560" t="s">
        <v>78</v>
      </c>
      <c r="L2560" t="s">
        <v>265</v>
      </c>
      <c r="M2560" t="s">
        <v>266</v>
      </c>
      <c r="N2560" t="s">
        <v>1033</v>
      </c>
      <c r="O2560" t="s">
        <v>82</v>
      </c>
      <c r="P2560" t="str">
        <f>"4170065587                    "</f>
        <v xml:space="preserve">4170065587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22.36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70.959999999999994</v>
      </c>
      <c r="BM2560">
        <v>10.64</v>
      </c>
      <c r="BN2560">
        <v>81.599999999999994</v>
      </c>
      <c r="BO2560">
        <v>81.599999999999994</v>
      </c>
      <c r="BQ2560" t="s">
        <v>1034</v>
      </c>
      <c r="BR2560" t="s">
        <v>97</v>
      </c>
      <c r="BS2560" s="3">
        <v>45953</v>
      </c>
      <c r="BT2560" s="4">
        <v>0.33333333333333331</v>
      </c>
      <c r="BU2560" t="s">
        <v>1992</v>
      </c>
      <c r="BV2560" t="s">
        <v>86</v>
      </c>
      <c r="BY2560">
        <v>1200</v>
      </c>
      <c r="CA2560" t="s">
        <v>818</v>
      </c>
      <c r="CC2560" t="s">
        <v>266</v>
      </c>
      <c r="CD2560">
        <v>6230</v>
      </c>
      <c r="CE2560" t="s">
        <v>147</v>
      </c>
      <c r="CF2560" s="3">
        <v>45953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"080068675897"</f>
        <v>080068675897</v>
      </c>
      <c r="F2561" s="3">
        <v>45952</v>
      </c>
      <c r="G2561">
        <v>202607</v>
      </c>
      <c r="H2561" t="s">
        <v>79</v>
      </c>
      <c r="I2561" t="s">
        <v>80</v>
      </c>
      <c r="J2561" t="s">
        <v>91</v>
      </c>
      <c r="K2561" t="s">
        <v>78</v>
      </c>
      <c r="L2561" t="s">
        <v>114</v>
      </c>
      <c r="M2561" t="s">
        <v>115</v>
      </c>
      <c r="N2561" t="s">
        <v>746</v>
      </c>
      <c r="O2561" t="s">
        <v>82</v>
      </c>
      <c r="P2561" t="str">
        <f>"4170065548                    "</f>
        <v xml:space="preserve">4170065548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22.36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70.959999999999994</v>
      </c>
      <c r="BM2561">
        <v>10.64</v>
      </c>
      <c r="BN2561">
        <v>81.599999999999994</v>
      </c>
      <c r="BO2561">
        <v>81.599999999999994</v>
      </c>
      <c r="BQ2561" t="s">
        <v>747</v>
      </c>
      <c r="BR2561" t="s">
        <v>97</v>
      </c>
      <c r="BS2561" s="3">
        <v>45953</v>
      </c>
      <c r="BT2561" s="4">
        <v>0.58680555555555558</v>
      </c>
      <c r="BU2561" t="s">
        <v>3108</v>
      </c>
      <c r="BV2561" t="s">
        <v>90</v>
      </c>
      <c r="BY2561">
        <v>1200</v>
      </c>
      <c r="CA2561" t="s">
        <v>3092</v>
      </c>
      <c r="CC2561" t="s">
        <v>115</v>
      </c>
      <c r="CD2561">
        <v>5200</v>
      </c>
      <c r="CE2561" t="s">
        <v>147</v>
      </c>
      <c r="CF2561" s="3">
        <v>45954</v>
      </c>
      <c r="CI2561">
        <v>1</v>
      </c>
      <c r="CJ2561">
        <v>1</v>
      </c>
      <c r="CK2561">
        <v>21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"080068675907"</f>
        <v>080068675907</v>
      </c>
      <c r="F2562" s="3">
        <v>45952</v>
      </c>
      <c r="G2562">
        <v>202607</v>
      </c>
      <c r="H2562" t="s">
        <v>79</v>
      </c>
      <c r="I2562" t="s">
        <v>80</v>
      </c>
      <c r="J2562" t="s">
        <v>91</v>
      </c>
      <c r="K2562" t="s">
        <v>78</v>
      </c>
      <c r="L2562" t="s">
        <v>206</v>
      </c>
      <c r="M2562" t="s">
        <v>207</v>
      </c>
      <c r="N2562" t="s">
        <v>427</v>
      </c>
      <c r="O2562" t="s">
        <v>82</v>
      </c>
      <c r="P2562" t="str">
        <f>"4170065428                    "</f>
        <v xml:space="preserve">4170065428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39.11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3.4</v>
      </c>
      <c r="BK2562">
        <v>3.5</v>
      </c>
      <c r="BL2562">
        <v>124.13</v>
      </c>
      <c r="BM2562">
        <v>18.62</v>
      </c>
      <c r="BN2562">
        <v>142.75</v>
      </c>
      <c r="BO2562">
        <v>142.75</v>
      </c>
      <c r="BQ2562" t="s">
        <v>428</v>
      </c>
      <c r="BR2562" t="s">
        <v>97</v>
      </c>
      <c r="BS2562" s="3">
        <v>45953</v>
      </c>
      <c r="BT2562" s="4">
        <v>0.31944444444444442</v>
      </c>
      <c r="BU2562" t="s">
        <v>3061</v>
      </c>
      <c r="BV2562" t="s">
        <v>86</v>
      </c>
      <c r="BY2562">
        <v>16965</v>
      </c>
      <c r="CA2562" t="s">
        <v>785</v>
      </c>
      <c r="CC2562" t="s">
        <v>207</v>
      </c>
      <c r="CD2562">
        <v>7530</v>
      </c>
      <c r="CE2562" t="s">
        <v>191</v>
      </c>
      <c r="CF2562" s="3">
        <v>45954</v>
      </c>
      <c r="CI2562">
        <v>1</v>
      </c>
      <c r="CJ2562">
        <v>1</v>
      </c>
      <c r="CK2562">
        <v>21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"080068676006"</f>
        <v>080068676006</v>
      </c>
      <c r="F2563" s="3">
        <v>45952</v>
      </c>
      <c r="G2563">
        <v>202607</v>
      </c>
      <c r="H2563" t="s">
        <v>79</v>
      </c>
      <c r="I2563" t="s">
        <v>80</v>
      </c>
      <c r="J2563" t="s">
        <v>91</v>
      </c>
      <c r="K2563" t="s">
        <v>78</v>
      </c>
      <c r="L2563" t="s">
        <v>79</v>
      </c>
      <c r="M2563" t="s">
        <v>80</v>
      </c>
      <c r="N2563" t="s">
        <v>3109</v>
      </c>
      <c r="O2563" t="s">
        <v>95</v>
      </c>
      <c r="P2563" t="str">
        <f>"4170065575                    "</f>
        <v xml:space="preserve">4170065575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380.53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5</v>
      </c>
      <c r="BI2563">
        <v>371</v>
      </c>
      <c r="BJ2563">
        <v>322.89999999999998</v>
      </c>
      <c r="BK2563">
        <v>371</v>
      </c>
      <c r="BL2563">
        <v>1213.6400000000001</v>
      </c>
      <c r="BM2563">
        <v>182.05</v>
      </c>
      <c r="BN2563">
        <v>1395.69</v>
      </c>
      <c r="BO2563">
        <v>1395.69</v>
      </c>
      <c r="BQ2563" t="s">
        <v>3110</v>
      </c>
      <c r="BR2563" t="s">
        <v>97</v>
      </c>
      <c r="BS2563" s="3">
        <v>45953</v>
      </c>
      <c r="BT2563" s="4">
        <v>0.3298611111111111</v>
      </c>
      <c r="BU2563" t="s">
        <v>3111</v>
      </c>
      <c r="BV2563" t="s">
        <v>86</v>
      </c>
      <c r="BY2563">
        <v>645888</v>
      </c>
      <c r="CA2563" t="s">
        <v>3112</v>
      </c>
      <c r="CC2563" t="s">
        <v>80</v>
      </c>
      <c r="CD2563">
        <v>1614</v>
      </c>
      <c r="CE2563" t="s">
        <v>1932</v>
      </c>
      <c r="CF2563" s="3">
        <v>45953</v>
      </c>
      <c r="CI2563">
        <v>1</v>
      </c>
      <c r="CJ2563">
        <v>1</v>
      </c>
      <c r="CK2563">
        <v>42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"080068676118"</f>
        <v>080068676118</v>
      </c>
      <c r="F2564" s="3">
        <v>45952</v>
      </c>
      <c r="G2564">
        <v>202607</v>
      </c>
      <c r="H2564" t="s">
        <v>79</v>
      </c>
      <c r="I2564" t="s">
        <v>80</v>
      </c>
      <c r="J2564" t="s">
        <v>91</v>
      </c>
      <c r="K2564" t="s">
        <v>78</v>
      </c>
      <c r="L2564" t="s">
        <v>206</v>
      </c>
      <c r="M2564" t="s">
        <v>207</v>
      </c>
      <c r="N2564" t="s">
        <v>458</v>
      </c>
      <c r="O2564" t="s">
        <v>82</v>
      </c>
      <c r="P2564" t="str">
        <f>"4170065373                    "</f>
        <v xml:space="preserve">4170065373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22.36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2</v>
      </c>
      <c r="BJ2564">
        <v>1.8</v>
      </c>
      <c r="BK2564">
        <v>2</v>
      </c>
      <c r="BL2564">
        <v>70.959999999999994</v>
      </c>
      <c r="BM2564">
        <v>10.64</v>
      </c>
      <c r="BN2564">
        <v>81.599999999999994</v>
      </c>
      <c r="BO2564">
        <v>81.599999999999994</v>
      </c>
      <c r="BQ2564" t="s">
        <v>459</v>
      </c>
      <c r="BR2564" t="s">
        <v>97</v>
      </c>
      <c r="BS2564" s="3">
        <v>45953</v>
      </c>
      <c r="BT2564" s="4">
        <v>0.41319444444444442</v>
      </c>
      <c r="BU2564" t="s">
        <v>3039</v>
      </c>
      <c r="BV2564" t="s">
        <v>86</v>
      </c>
      <c r="BY2564">
        <v>8816</v>
      </c>
      <c r="CA2564" t="s">
        <v>461</v>
      </c>
      <c r="CC2564" t="s">
        <v>207</v>
      </c>
      <c r="CD2564">
        <v>7530</v>
      </c>
      <c r="CE2564" t="s">
        <v>191</v>
      </c>
      <c r="CF2564" s="3">
        <v>45954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"080068676160"</f>
        <v>080068676160</v>
      </c>
      <c r="F2565" s="3">
        <v>45952</v>
      </c>
      <c r="G2565">
        <v>202607</v>
      </c>
      <c r="H2565" t="s">
        <v>79</v>
      </c>
      <c r="I2565" t="s">
        <v>80</v>
      </c>
      <c r="J2565" t="s">
        <v>91</v>
      </c>
      <c r="K2565" t="s">
        <v>78</v>
      </c>
      <c r="L2565" t="s">
        <v>148</v>
      </c>
      <c r="M2565" t="s">
        <v>149</v>
      </c>
      <c r="N2565" t="s">
        <v>465</v>
      </c>
      <c r="O2565" t="s">
        <v>226</v>
      </c>
      <c r="P2565" t="str">
        <f>"4170065523                    "</f>
        <v xml:space="preserve">4170065523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17.47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1.9</v>
      </c>
      <c r="BJ2565">
        <v>3.1</v>
      </c>
      <c r="BK2565">
        <v>4</v>
      </c>
      <c r="BL2565">
        <v>55.44</v>
      </c>
      <c r="BM2565">
        <v>8.32</v>
      </c>
      <c r="BN2565">
        <v>63.76</v>
      </c>
      <c r="BO2565">
        <v>63.76</v>
      </c>
      <c r="BQ2565" t="s">
        <v>466</v>
      </c>
      <c r="BR2565" t="s">
        <v>97</v>
      </c>
      <c r="BS2565" s="3">
        <v>45953</v>
      </c>
      <c r="BT2565" s="4">
        <v>0.41666666666666669</v>
      </c>
      <c r="BU2565" t="s">
        <v>1658</v>
      </c>
      <c r="BV2565" t="s">
        <v>86</v>
      </c>
      <c r="BY2565">
        <v>15697.5</v>
      </c>
      <c r="CA2565" t="s">
        <v>2853</v>
      </c>
      <c r="CC2565" t="s">
        <v>149</v>
      </c>
      <c r="CD2565">
        <v>2094</v>
      </c>
      <c r="CE2565" t="s">
        <v>191</v>
      </c>
      <c r="CF2565" s="3">
        <v>45954</v>
      </c>
      <c r="CI2565">
        <v>1</v>
      </c>
      <c r="CJ2565">
        <v>1</v>
      </c>
      <c r="CK2565">
        <v>32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"080068676198"</f>
        <v>080068676198</v>
      </c>
      <c r="F2566" s="3">
        <v>45952</v>
      </c>
      <c r="G2566">
        <v>202607</v>
      </c>
      <c r="H2566" t="s">
        <v>79</v>
      </c>
      <c r="I2566" t="s">
        <v>80</v>
      </c>
      <c r="J2566" t="s">
        <v>91</v>
      </c>
      <c r="K2566" t="s">
        <v>78</v>
      </c>
      <c r="L2566" t="s">
        <v>121</v>
      </c>
      <c r="M2566" t="s">
        <v>122</v>
      </c>
      <c r="N2566" t="s">
        <v>159</v>
      </c>
      <c r="O2566" t="s">
        <v>82</v>
      </c>
      <c r="P2566" t="str">
        <f>"4170065472                    "</f>
        <v xml:space="preserve">4170065472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50.28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3</v>
      </c>
      <c r="BJ2566">
        <v>4.0999999999999996</v>
      </c>
      <c r="BK2566">
        <v>4.5</v>
      </c>
      <c r="BL2566">
        <v>159.58000000000001</v>
      </c>
      <c r="BM2566">
        <v>23.94</v>
      </c>
      <c r="BN2566">
        <v>183.52</v>
      </c>
      <c r="BO2566">
        <v>183.52</v>
      </c>
      <c r="BQ2566" t="s">
        <v>160</v>
      </c>
      <c r="BR2566" t="s">
        <v>97</v>
      </c>
      <c r="BS2566" s="3">
        <v>45953</v>
      </c>
      <c r="BT2566" s="4">
        <v>0.41805555555555557</v>
      </c>
      <c r="BU2566" t="s">
        <v>3113</v>
      </c>
      <c r="BV2566" t="s">
        <v>86</v>
      </c>
      <c r="BY2566">
        <v>20358</v>
      </c>
      <c r="CA2566" t="s">
        <v>742</v>
      </c>
      <c r="CC2566" t="s">
        <v>122</v>
      </c>
      <c r="CD2566">
        <v>4000</v>
      </c>
      <c r="CE2566" t="s">
        <v>191</v>
      </c>
      <c r="CF2566" s="3">
        <v>45953</v>
      </c>
      <c r="CI2566">
        <v>1</v>
      </c>
      <c r="CJ2566">
        <v>1</v>
      </c>
      <c r="CK2566">
        <v>21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"080068676202"</f>
        <v>080068676202</v>
      </c>
      <c r="F2567" s="3">
        <v>45952</v>
      </c>
      <c r="G2567">
        <v>202607</v>
      </c>
      <c r="H2567" t="s">
        <v>79</v>
      </c>
      <c r="I2567" t="s">
        <v>80</v>
      </c>
      <c r="J2567" t="s">
        <v>91</v>
      </c>
      <c r="K2567" t="s">
        <v>78</v>
      </c>
      <c r="L2567" t="s">
        <v>92</v>
      </c>
      <c r="M2567" t="s">
        <v>93</v>
      </c>
      <c r="N2567" t="s">
        <v>552</v>
      </c>
      <c r="O2567" t="s">
        <v>82</v>
      </c>
      <c r="P2567" t="str">
        <f>"4170065602                    "</f>
        <v xml:space="preserve">4170065602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128.46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8.4</v>
      </c>
      <c r="BJ2567">
        <v>11.4</v>
      </c>
      <c r="BK2567">
        <v>11.5</v>
      </c>
      <c r="BL2567">
        <v>407.72</v>
      </c>
      <c r="BM2567">
        <v>61.16</v>
      </c>
      <c r="BN2567">
        <v>468.88</v>
      </c>
      <c r="BO2567">
        <v>468.88</v>
      </c>
      <c r="BQ2567" t="s">
        <v>553</v>
      </c>
      <c r="BR2567" t="s">
        <v>97</v>
      </c>
      <c r="BS2567" s="3">
        <v>45953</v>
      </c>
      <c r="BT2567" s="4">
        <v>0.40277777777777779</v>
      </c>
      <c r="BU2567" t="s">
        <v>1781</v>
      </c>
      <c r="BV2567" t="s">
        <v>86</v>
      </c>
      <c r="BY2567">
        <v>57168</v>
      </c>
      <c r="CA2567" t="s">
        <v>1782</v>
      </c>
      <c r="CC2567" t="s">
        <v>93</v>
      </c>
      <c r="CD2567">
        <v>3201</v>
      </c>
      <c r="CE2567" t="s">
        <v>107</v>
      </c>
      <c r="CF2567" s="3">
        <v>45954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"080068676251"</f>
        <v>080068676251</v>
      </c>
      <c r="F2568" s="3">
        <v>45952</v>
      </c>
      <c r="G2568">
        <v>202607</v>
      </c>
      <c r="H2568" t="s">
        <v>79</v>
      </c>
      <c r="I2568" t="s">
        <v>80</v>
      </c>
      <c r="J2568" t="s">
        <v>91</v>
      </c>
      <c r="K2568" t="s">
        <v>78</v>
      </c>
      <c r="L2568" t="s">
        <v>322</v>
      </c>
      <c r="M2568" t="s">
        <v>322</v>
      </c>
      <c r="N2568" t="s">
        <v>481</v>
      </c>
      <c r="O2568" t="s">
        <v>82</v>
      </c>
      <c r="P2568" t="str">
        <f>"4170065556                    "</f>
        <v xml:space="preserve">4170065556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62.87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3</v>
      </c>
      <c r="BJ2568">
        <v>1.1000000000000001</v>
      </c>
      <c r="BK2568">
        <v>3</v>
      </c>
      <c r="BL2568">
        <v>199.55</v>
      </c>
      <c r="BM2568">
        <v>29.93</v>
      </c>
      <c r="BN2568">
        <v>229.48</v>
      </c>
      <c r="BO2568">
        <v>229.48</v>
      </c>
      <c r="BQ2568" t="s">
        <v>482</v>
      </c>
      <c r="BR2568" t="s">
        <v>97</v>
      </c>
      <c r="BS2568" s="3">
        <v>45953</v>
      </c>
      <c r="BT2568" s="4">
        <v>0.53819444444444442</v>
      </c>
      <c r="BU2568" t="s">
        <v>378</v>
      </c>
      <c r="BV2568" t="s">
        <v>86</v>
      </c>
      <c r="BY2568">
        <v>5510</v>
      </c>
      <c r="CA2568" t="s">
        <v>326</v>
      </c>
      <c r="CC2568" t="s">
        <v>322</v>
      </c>
      <c r="CD2568">
        <v>7646</v>
      </c>
      <c r="CE2568" t="s">
        <v>191</v>
      </c>
      <c r="CF2568" s="3">
        <v>45954</v>
      </c>
      <c r="CI2568">
        <v>1</v>
      </c>
      <c r="CJ2568">
        <v>1</v>
      </c>
      <c r="CK2568">
        <v>23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"080068676255"</f>
        <v>080068676255</v>
      </c>
      <c r="F2569" s="3">
        <v>45952</v>
      </c>
      <c r="G2569">
        <v>202607</v>
      </c>
      <c r="H2569" t="s">
        <v>79</v>
      </c>
      <c r="I2569" t="s">
        <v>80</v>
      </c>
      <c r="J2569" t="s">
        <v>91</v>
      </c>
      <c r="K2569" t="s">
        <v>78</v>
      </c>
      <c r="L2569" t="s">
        <v>206</v>
      </c>
      <c r="M2569" t="s">
        <v>207</v>
      </c>
      <c r="N2569" t="s">
        <v>477</v>
      </c>
      <c r="O2569" t="s">
        <v>82</v>
      </c>
      <c r="P2569" t="str">
        <f>"4170065594                    "</f>
        <v xml:space="preserve">4170065594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22.36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2</v>
      </c>
      <c r="BK2569">
        <v>2</v>
      </c>
      <c r="BL2569">
        <v>70.959999999999994</v>
      </c>
      <c r="BM2569">
        <v>10.64</v>
      </c>
      <c r="BN2569">
        <v>81.599999999999994</v>
      </c>
      <c r="BO2569">
        <v>81.599999999999994</v>
      </c>
      <c r="BQ2569" t="s">
        <v>478</v>
      </c>
      <c r="BR2569" t="s">
        <v>97</v>
      </c>
      <c r="BS2569" s="3">
        <v>45953</v>
      </c>
      <c r="BT2569" s="4">
        <v>0.47569444444444442</v>
      </c>
      <c r="BU2569" t="s">
        <v>3003</v>
      </c>
      <c r="BV2569" t="s">
        <v>90</v>
      </c>
      <c r="BW2569" t="s">
        <v>347</v>
      </c>
      <c r="BX2569" t="s">
        <v>1038</v>
      </c>
      <c r="BY2569">
        <v>9918</v>
      </c>
      <c r="CA2569" t="s">
        <v>480</v>
      </c>
      <c r="CC2569" t="s">
        <v>207</v>
      </c>
      <c r="CD2569">
        <v>7480</v>
      </c>
      <c r="CE2569" t="s">
        <v>191</v>
      </c>
      <c r="CF2569" s="3">
        <v>45954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"080068676329"</f>
        <v>080068676329</v>
      </c>
      <c r="F2570" s="3">
        <v>45952</v>
      </c>
      <c r="G2570">
        <v>202607</v>
      </c>
      <c r="H2570" t="s">
        <v>79</v>
      </c>
      <c r="I2570" t="s">
        <v>80</v>
      </c>
      <c r="J2570" t="s">
        <v>91</v>
      </c>
      <c r="K2570" t="s">
        <v>78</v>
      </c>
      <c r="L2570" t="s">
        <v>322</v>
      </c>
      <c r="M2570" t="s">
        <v>322</v>
      </c>
      <c r="N2570" t="s">
        <v>376</v>
      </c>
      <c r="O2570" t="s">
        <v>82</v>
      </c>
      <c r="P2570" t="str">
        <f>"4170065581                    "</f>
        <v xml:space="preserve">4170065581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43.31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2</v>
      </c>
      <c r="BK2570">
        <v>2</v>
      </c>
      <c r="BL2570">
        <v>137.47</v>
      </c>
      <c r="BM2570">
        <v>20.62</v>
      </c>
      <c r="BN2570">
        <v>158.09</v>
      </c>
      <c r="BO2570">
        <v>158.09</v>
      </c>
      <c r="BQ2570" t="s">
        <v>377</v>
      </c>
      <c r="BR2570" t="s">
        <v>97</v>
      </c>
      <c r="BS2570" s="3">
        <v>45953</v>
      </c>
      <c r="BT2570" s="4">
        <v>0.53819444444444442</v>
      </c>
      <c r="BU2570" t="s">
        <v>378</v>
      </c>
      <c r="BV2570" t="s">
        <v>86</v>
      </c>
      <c r="BY2570">
        <v>9918</v>
      </c>
      <c r="CA2570" t="s">
        <v>326</v>
      </c>
      <c r="CC2570" t="s">
        <v>322</v>
      </c>
      <c r="CD2570">
        <v>7646</v>
      </c>
      <c r="CE2570" t="s">
        <v>191</v>
      </c>
      <c r="CF2570" s="3">
        <v>45954</v>
      </c>
      <c r="CI2570">
        <v>1</v>
      </c>
      <c r="CJ2570">
        <v>1</v>
      </c>
      <c r="CK2570">
        <v>23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"080068676366"</f>
        <v>080068676366</v>
      </c>
      <c r="F2571" s="3">
        <v>45952</v>
      </c>
      <c r="G2571">
        <v>202607</v>
      </c>
      <c r="H2571" t="s">
        <v>79</v>
      </c>
      <c r="I2571" t="s">
        <v>80</v>
      </c>
      <c r="J2571" t="s">
        <v>91</v>
      </c>
      <c r="K2571" t="s">
        <v>78</v>
      </c>
      <c r="L2571" t="s">
        <v>710</v>
      </c>
      <c r="M2571" t="s">
        <v>711</v>
      </c>
      <c r="N2571" t="s">
        <v>774</v>
      </c>
      <c r="O2571" t="s">
        <v>82</v>
      </c>
      <c r="P2571" t="str">
        <f>"4170065513                    "</f>
        <v xml:space="preserve">4170065513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22.36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0.9</v>
      </c>
      <c r="BK2571">
        <v>1</v>
      </c>
      <c r="BL2571">
        <v>70.959999999999994</v>
      </c>
      <c r="BM2571">
        <v>10.64</v>
      </c>
      <c r="BN2571">
        <v>81.599999999999994</v>
      </c>
      <c r="BO2571">
        <v>81.599999999999994</v>
      </c>
      <c r="BQ2571" t="s">
        <v>775</v>
      </c>
      <c r="BR2571" t="s">
        <v>97</v>
      </c>
      <c r="BS2571" s="3">
        <v>45953</v>
      </c>
      <c r="BT2571" s="4">
        <v>0.42569444444444443</v>
      </c>
      <c r="BU2571" t="s">
        <v>3114</v>
      </c>
      <c r="BV2571" t="s">
        <v>86</v>
      </c>
      <c r="BY2571">
        <v>4275</v>
      </c>
      <c r="CA2571" t="s">
        <v>859</v>
      </c>
      <c r="CC2571" t="s">
        <v>711</v>
      </c>
      <c r="CD2571">
        <v>4126</v>
      </c>
      <c r="CE2571" t="s">
        <v>191</v>
      </c>
      <c r="CF2571" s="3">
        <v>45954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"080068676462"</f>
        <v>080068676462</v>
      </c>
      <c r="F2572" s="3">
        <v>45952</v>
      </c>
      <c r="G2572">
        <v>202607</v>
      </c>
      <c r="H2572" t="s">
        <v>79</v>
      </c>
      <c r="I2572" t="s">
        <v>80</v>
      </c>
      <c r="J2572" t="s">
        <v>91</v>
      </c>
      <c r="K2572" t="s">
        <v>78</v>
      </c>
      <c r="L2572" t="s">
        <v>233</v>
      </c>
      <c r="M2572" t="s">
        <v>234</v>
      </c>
      <c r="N2572" t="s">
        <v>3115</v>
      </c>
      <c r="O2572" t="s">
        <v>82</v>
      </c>
      <c r="P2572" t="str">
        <f>"4170065593                    "</f>
        <v xml:space="preserve">4170065593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27.94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2.5</v>
      </c>
      <c r="BJ2572">
        <v>0.9</v>
      </c>
      <c r="BK2572">
        <v>2.5</v>
      </c>
      <c r="BL2572">
        <v>88.68</v>
      </c>
      <c r="BM2572">
        <v>13.3</v>
      </c>
      <c r="BN2572">
        <v>101.98</v>
      </c>
      <c r="BO2572">
        <v>101.98</v>
      </c>
      <c r="BQ2572" t="s">
        <v>3116</v>
      </c>
      <c r="BR2572" t="s">
        <v>97</v>
      </c>
      <c r="BS2572" s="3">
        <v>45959</v>
      </c>
      <c r="BT2572" s="4">
        <v>0.38194444444444442</v>
      </c>
      <c r="BU2572" t="s">
        <v>3117</v>
      </c>
      <c r="BV2572" t="s">
        <v>90</v>
      </c>
      <c r="BW2572" t="s">
        <v>188</v>
      </c>
      <c r="BX2572" t="s">
        <v>1152</v>
      </c>
      <c r="BY2572">
        <v>4537.49</v>
      </c>
      <c r="CA2572">
        <v>8601266266086</v>
      </c>
      <c r="CC2572" t="s">
        <v>234</v>
      </c>
      <c r="CD2572" s="5" t="s">
        <v>238</v>
      </c>
      <c r="CE2572" t="s">
        <v>191</v>
      </c>
      <c r="CF2572" s="3">
        <v>45959</v>
      </c>
      <c r="CI2572">
        <v>1</v>
      </c>
      <c r="CJ2572">
        <v>5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"080068676720"</f>
        <v>080068676720</v>
      </c>
      <c r="F2573" s="3">
        <v>45952</v>
      </c>
      <c r="G2573">
        <v>202607</v>
      </c>
      <c r="H2573" t="s">
        <v>79</v>
      </c>
      <c r="I2573" t="s">
        <v>80</v>
      </c>
      <c r="J2573" t="s">
        <v>91</v>
      </c>
      <c r="K2573" t="s">
        <v>78</v>
      </c>
      <c r="L2573" t="s">
        <v>206</v>
      </c>
      <c r="M2573" t="s">
        <v>207</v>
      </c>
      <c r="N2573" t="s">
        <v>656</v>
      </c>
      <c r="O2573" t="s">
        <v>82</v>
      </c>
      <c r="P2573" t="str">
        <f>"4170065592                    "</f>
        <v xml:space="preserve">4170065592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22.36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2</v>
      </c>
      <c r="BK2573">
        <v>2</v>
      </c>
      <c r="BL2573">
        <v>70.959999999999994</v>
      </c>
      <c r="BM2573">
        <v>10.64</v>
      </c>
      <c r="BN2573">
        <v>81.599999999999994</v>
      </c>
      <c r="BO2573">
        <v>81.599999999999994</v>
      </c>
      <c r="BQ2573" t="s">
        <v>657</v>
      </c>
      <c r="BR2573" t="s">
        <v>97</v>
      </c>
      <c r="BS2573" s="3">
        <v>45953</v>
      </c>
      <c r="BT2573" s="4">
        <v>0.42777777777777776</v>
      </c>
      <c r="BU2573" t="s">
        <v>658</v>
      </c>
      <c r="BV2573" t="s">
        <v>86</v>
      </c>
      <c r="BY2573">
        <v>9918</v>
      </c>
      <c r="CA2573" t="s">
        <v>211</v>
      </c>
      <c r="CC2573" t="s">
        <v>207</v>
      </c>
      <c r="CD2573">
        <v>7405</v>
      </c>
      <c r="CE2573" t="s">
        <v>191</v>
      </c>
      <c r="CF2573" s="3">
        <v>45954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"080068677107"</f>
        <v>080068677107</v>
      </c>
      <c r="F2574" s="3">
        <v>45952</v>
      </c>
      <c r="G2574">
        <v>202607</v>
      </c>
      <c r="H2574" t="s">
        <v>79</v>
      </c>
      <c r="I2574" t="s">
        <v>80</v>
      </c>
      <c r="J2574" t="s">
        <v>91</v>
      </c>
      <c r="K2574" t="s">
        <v>78</v>
      </c>
      <c r="L2574" t="s">
        <v>168</v>
      </c>
      <c r="M2574" t="s">
        <v>169</v>
      </c>
      <c r="N2574" t="s">
        <v>3118</v>
      </c>
      <c r="O2574" t="s">
        <v>82</v>
      </c>
      <c r="P2574" t="str">
        <f>"4170064623                    "</f>
        <v xml:space="preserve">4170064623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22.36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70.959999999999994</v>
      </c>
      <c r="BM2574">
        <v>10.64</v>
      </c>
      <c r="BN2574">
        <v>81.599999999999994</v>
      </c>
      <c r="BO2574">
        <v>81.599999999999994</v>
      </c>
      <c r="BQ2574" t="s">
        <v>3119</v>
      </c>
      <c r="BR2574" t="s">
        <v>97</v>
      </c>
      <c r="BS2574" s="3">
        <v>45953</v>
      </c>
      <c r="BT2574" s="4">
        <v>0.35416666666666669</v>
      </c>
      <c r="BU2574" t="s">
        <v>3120</v>
      </c>
      <c r="BV2574" t="s">
        <v>86</v>
      </c>
      <c r="BY2574">
        <v>1200</v>
      </c>
      <c r="CA2574">
        <v>8905215806086</v>
      </c>
      <c r="CC2574" t="s">
        <v>169</v>
      </c>
      <c r="CD2574" s="5" t="s">
        <v>3121</v>
      </c>
      <c r="CE2574" t="s">
        <v>1955</v>
      </c>
      <c r="CF2574" s="3">
        <v>45953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"080068677171"</f>
        <v>080068677171</v>
      </c>
      <c r="F2575" s="3">
        <v>45952</v>
      </c>
      <c r="G2575">
        <v>202607</v>
      </c>
      <c r="H2575" t="s">
        <v>79</v>
      </c>
      <c r="I2575" t="s">
        <v>80</v>
      </c>
      <c r="J2575" t="s">
        <v>91</v>
      </c>
      <c r="K2575" t="s">
        <v>78</v>
      </c>
      <c r="L2575" t="s">
        <v>108</v>
      </c>
      <c r="M2575" t="s">
        <v>109</v>
      </c>
      <c r="N2575" t="s">
        <v>2931</v>
      </c>
      <c r="O2575" t="s">
        <v>82</v>
      </c>
      <c r="P2575" t="str">
        <f>"4170065377                    "</f>
        <v xml:space="preserve">4170065377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33.520000000000003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3</v>
      </c>
      <c r="BJ2575">
        <v>1.8</v>
      </c>
      <c r="BK2575">
        <v>3</v>
      </c>
      <c r="BL2575">
        <v>106.4</v>
      </c>
      <c r="BM2575">
        <v>15.96</v>
      </c>
      <c r="BN2575">
        <v>122.36</v>
      </c>
      <c r="BO2575">
        <v>122.36</v>
      </c>
      <c r="BQ2575" t="s">
        <v>2932</v>
      </c>
      <c r="BR2575" t="s">
        <v>97</v>
      </c>
      <c r="BS2575" s="3">
        <v>45953</v>
      </c>
      <c r="BT2575" s="4">
        <v>0.38541666666666669</v>
      </c>
      <c r="BU2575" t="s">
        <v>2933</v>
      </c>
      <c r="BV2575" t="s">
        <v>86</v>
      </c>
      <c r="BY2575">
        <v>8816</v>
      </c>
      <c r="CA2575" t="s">
        <v>142</v>
      </c>
      <c r="CC2575" t="s">
        <v>109</v>
      </c>
      <c r="CD2575">
        <v>6001</v>
      </c>
      <c r="CE2575" t="s">
        <v>191</v>
      </c>
      <c r="CF2575" s="3">
        <v>45953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"080068677173"</f>
        <v>080068677173</v>
      </c>
      <c r="F2576" s="3">
        <v>45952</v>
      </c>
      <c r="G2576">
        <v>202607</v>
      </c>
      <c r="H2576" t="s">
        <v>79</v>
      </c>
      <c r="I2576" t="s">
        <v>80</v>
      </c>
      <c r="J2576" t="s">
        <v>91</v>
      </c>
      <c r="K2576" t="s">
        <v>78</v>
      </c>
      <c r="L2576" t="s">
        <v>2111</v>
      </c>
      <c r="M2576" t="s">
        <v>2112</v>
      </c>
      <c r="N2576" t="s">
        <v>3122</v>
      </c>
      <c r="O2576" t="s">
        <v>82</v>
      </c>
      <c r="P2576" t="str">
        <f>"4170065526                    "</f>
        <v xml:space="preserve">4170065526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72.650000000000006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3</v>
      </c>
      <c r="BJ2576">
        <v>3.2</v>
      </c>
      <c r="BK2576">
        <v>3.5</v>
      </c>
      <c r="BL2576">
        <v>230.59</v>
      </c>
      <c r="BM2576">
        <v>34.590000000000003</v>
      </c>
      <c r="BN2576">
        <v>265.18</v>
      </c>
      <c r="BO2576">
        <v>265.18</v>
      </c>
      <c r="BQ2576" t="s">
        <v>3123</v>
      </c>
      <c r="BR2576" t="s">
        <v>97</v>
      </c>
      <c r="BS2576" s="3">
        <v>45953</v>
      </c>
      <c r="BT2576" s="4">
        <v>0.63541666666666663</v>
      </c>
      <c r="BU2576" t="s">
        <v>3124</v>
      </c>
      <c r="BV2576" t="s">
        <v>90</v>
      </c>
      <c r="BW2576" t="s">
        <v>136</v>
      </c>
      <c r="BX2576" t="s">
        <v>137</v>
      </c>
      <c r="BY2576">
        <v>16184</v>
      </c>
      <c r="CA2576" t="s">
        <v>2648</v>
      </c>
      <c r="CC2576" t="s">
        <v>2112</v>
      </c>
      <c r="CD2576">
        <v>4400</v>
      </c>
      <c r="CE2576" t="s">
        <v>191</v>
      </c>
      <c r="CF2576" s="3">
        <v>45953</v>
      </c>
      <c r="CI2576">
        <v>1</v>
      </c>
      <c r="CJ2576">
        <v>1</v>
      </c>
      <c r="CK2576">
        <v>23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"080068677236"</f>
        <v>080068677236</v>
      </c>
      <c r="F2577" s="3">
        <v>45952</v>
      </c>
      <c r="G2577">
        <v>202607</v>
      </c>
      <c r="H2577" t="s">
        <v>79</v>
      </c>
      <c r="I2577" t="s">
        <v>80</v>
      </c>
      <c r="J2577" t="s">
        <v>91</v>
      </c>
      <c r="K2577" t="s">
        <v>78</v>
      </c>
      <c r="L2577" t="s">
        <v>79</v>
      </c>
      <c r="M2577" t="s">
        <v>80</v>
      </c>
      <c r="N2577" t="s">
        <v>357</v>
      </c>
      <c r="O2577" t="s">
        <v>82</v>
      </c>
      <c r="P2577" t="str">
        <f>"4170065519                    "</f>
        <v xml:space="preserve">4170065519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17.46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1.1000000000000001</v>
      </c>
      <c r="BK2577">
        <v>2</v>
      </c>
      <c r="BL2577">
        <v>55.42</v>
      </c>
      <c r="BM2577">
        <v>8.31</v>
      </c>
      <c r="BN2577">
        <v>63.73</v>
      </c>
      <c r="BO2577">
        <v>63.73</v>
      </c>
      <c r="BQ2577" t="s">
        <v>358</v>
      </c>
      <c r="BR2577" t="s">
        <v>97</v>
      </c>
      <c r="BS2577" s="3">
        <v>45953</v>
      </c>
      <c r="BT2577" s="4">
        <v>0.4375</v>
      </c>
      <c r="BU2577" t="s">
        <v>1726</v>
      </c>
      <c r="BV2577" t="s">
        <v>86</v>
      </c>
      <c r="BY2577">
        <v>5320</v>
      </c>
      <c r="CC2577" t="s">
        <v>80</v>
      </c>
      <c r="CD2577">
        <v>1645</v>
      </c>
      <c r="CE2577" t="s">
        <v>191</v>
      </c>
      <c r="CF2577" s="3">
        <v>45954</v>
      </c>
      <c r="CI2577">
        <v>1</v>
      </c>
      <c r="CJ2577">
        <v>1</v>
      </c>
      <c r="CK2577">
        <v>22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"080068677252"</f>
        <v>080068677252</v>
      </c>
      <c r="F2578" s="3">
        <v>45952</v>
      </c>
      <c r="G2578">
        <v>202607</v>
      </c>
      <c r="H2578" t="s">
        <v>79</v>
      </c>
      <c r="I2578" t="s">
        <v>80</v>
      </c>
      <c r="J2578" t="s">
        <v>91</v>
      </c>
      <c r="K2578" t="s">
        <v>78</v>
      </c>
      <c r="L2578" t="s">
        <v>206</v>
      </c>
      <c r="M2578" t="s">
        <v>207</v>
      </c>
      <c r="N2578" t="s">
        <v>458</v>
      </c>
      <c r="O2578" t="s">
        <v>82</v>
      </c>
      <c r="P2578" t="str">
        <f>"4170065374                    "</f>
        <v xml:space="preserve">4170065374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33.520000000000003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3</v>
      </c>
      <c r="BJ2578">
        <v>1.8</v>
      </c>
      <c r="BK2578">
        <v>3</v>
      </c>
      <c r="BL2578">
        <v>106.4</v>
      </c>
      <c r="BM2578">
        <v>15.96</v>
      </c>
      <c r="BN2578">
        <v>122.36</v>
      </c>
      <c r="BO2578">
        <v>122.36</v>
      </c>
      <c r="BQ2578" t="s">
        <v>459</v>
      </c>
      <c r="BR2578" t="s">
        <v>97</v>
      </c>
      <c r="BS2578" s="3">
        <v>45953</v>
      </c>
      <c r="BT2578" s="4">
        <v>0.41319444444444442</v>
      </c>
      <c r="BU2578" t="s">
        <v>3039</v>
      </c>
      <c r="BV2578" t="s">
        <v>86</v>
      </c>
      <c r="BY2578">
        <v>8816</v>
      </c>
      <c r="CA2578" t="s">
        <v>461</v>
      </c>
      <c r="CC2578" t="s">
        <v>207</v>
      </c>
      <c r="CD2578">
        <v>7535</v>
      </c>
      <c r="CE2578" t="s">
        <v>191</v>
      </c>
      <c r="CF2578" s="3">
        <v>45954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"080068677835"</f>
        <v>080068677835</v>
      </c>
      <c r="F2579" s="3">
        <v>45952</v>
      </c>
      <c r="G2579">
        <v>202607</v>
      </c>
      <c r="H2579" t="s">
        <v>79</v>
      </c>
      <c r="I2579" t="s">
        <v>80</v>
      </c>
      <c r="J2579" t="s">
        <v>91</v>
      </c>
      <c r="K2579" t="s">
        <v>78</v>
      </c>
      <c r="L2579" t="s">
        <v>168</v>
      </c>
      <c r="M2579" t="s">
        <v>169</v>
      </c>
      <c r="N2579" t="s">
        <v>2783</v>
      </c>
      <c r="O2579" t="s">
        <v>82</v>
      </c>
      <c r="P2579" t="str">
        <f>"4170065438                    "</f>
        <v xml:space="preserve">4170065438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22.36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70.959999999999994</v>
      </c>
      <c r="BM2579">
        <v>10.64</v>
      </c>
      <c r="BN2579">
        <v>81.599999999999994</v>
      </c>
      <c r="BO2579">
        <v>81.599999999999994</v>
      </c>
      <c r="BQ2579" t="s">
        <v>2784</v>
      </c>
      <c r="BR2579" t="s">
        <v>97</v>
      </c>
      <c r="BS2579" s="3">
        <v>45953</v>
      </c>
      <c r="BT2579" s="4">
        <v>0.42986111111111114</v>
      </c>
      <c r="BU2579" t="s">
        <v>2785</v>
      </c>
      <c r="BV2579" t="s">
        <v>86</v>
      </c>
      <c r="BY2579">
        <v>1200</v>
      </c>
      <c r="CA2579">
        <v>8201095431082</v>
      </c>
      <c r="CC2579" t="s">
        <v>169</v>
      </c>
      <c r="CD2579" s="5" t="s">
        <v>914</v>
      </c>
      <c r="CE2579" t="s">
        <v>147</v>
      </c>
      <c r="CF2579" s="3">
        <v>45953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"080068677878"</f>
        <v>080068677878</v>
      </c>
      <c r="F2580" s="3">
        <v>45952</v>
      </c>
      <c r="G2580">
        <v>202607</v>
      </c>
      <c r="H2580" t="s">
        <v>79</v>
      </c>
      <c r="I2580" t="s">
        <v>80</v>
      </c>
      <c r="J2580" t="s">
        <v>91</v>
      </c>
      <c r="K2580" t="s">
        <v>78</v>
      </c>
      <c r="L2580" t="s">
        <v>114</v>
      </c>
      <c r="M2580" t="s">
        <v>115</v>
      </c>
      <c r="N2580" t="s">
        <v>746</v>
      </c>
      <c r="O2580" t="s">
        <v>82</v>
      </c>
      <c r="P2580" t="str">
        <f>"4170065388                    "</f>
        <v xml:space="preserve">4170065388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22.36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70.959999999999994</v>
      </c>
      <c r="BM2580">
        <v>10.64</v>
      </c>
      <c r="BN2580">
        <v>81.599999999999994</v>
      </c>
      <c r="BO2580">
        <v>81.599999999999994</v>
      </c>
      <c r="BQ2580" t="s">
        <v>747</v>
      </c>
      <c r="BR2580" t="s">
        <v>97</v>
      </c>
      <c r="BS2580" s="3">
        <v>45953</v>
      </c>
      <c r="BT2580" s="4">
        <v>0.58680555555555558</v>
      </c>
      <c r="BU2580" t="s">
        <v>3108</v>
      </c>
      <c r="BV2580" t="s">
        <v>90</v>
      </c>
      <c r="BY2580">
        <v>1200</v>
      </c>
      <c r="CA2580" t="s">
        <v>3092</v>
      </c>
      <c r="CC2580" t="s">
        <v>115</v>
      </c>
      <c r="CD2580">
        <v>5200</v>
      </c>
      <c r="CE2580" t="s">
        <v>147</v>
      </c>
      <c r="CF2580" s="3">
        <v>45954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"080068677928"</f>
        <v>080068677928</v>
      </c>
      <c r="F2581" s="3">
        <v>45952</v>
      </c>
      <c r="G2581">
        <v>202607</v>
      </c>
      <c r="H2581" t="s">
        <v>79</v>
      </c>
      <c r="I2581" t="s">
        <v>80</v>
      </c>
      <c r="J2581" t="s">
        <v>91</v>
      </c>
      <c r="K2581" t="s">
        <v>78</v>
      </c>
      <c r="L2581" t="s">
        <v>333</v>
      </c>
      <c r="M2581" t="s">
        <v>334</v>
      </c>
      <c r="N2581" t="s">
        <v>1388</v>
      </c>
      <c r="O2581" t="s">
        <v>82</v>
      </c>
      <c r="P2581" t="str">
        <f>"4170065578                    "</f>
        <v xml:space="preserve">4170065578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22.36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70.959999999999994</v>
      </c>
      <c r="BM2581">
        <v>10.64</v>
      </c>
      <c r="BN2581">
        <v>81.599999999999994</v>
      </c>
      <c r="BO2581">
        <v>81.599999999999994</v>
      </c>
      <c r="BQ2581" t="s">
        <v>1389</v>
      </c>
      <c r="BR2581" t="s">
        <v>97</v>
      </c>
      <c r="BS2581" s="3">
        <v>45953</v>
      </c>
      <c r="BT2581" s="4">
        <v>0.40902777777777777</v>
      </c>
      <c r="BU2581" t="s">
        <v>2413</v>
      </c>
      <c r="BV2581" t="s">
        <v>86</v>
      </c>
      <c r="BY2581">
        <v>1200</v>
      </c>
      <c r="CA2581" t="s">
        <v>142</v>
      </c>
      <c r="CC2581" t="s">
        <v>334</v>
      </c>
      <c r="CD2581">
        <v>6220</v>
      </c>
      <c r="CE2581" t="s">
        <v>147</v>
      </c>
      <c r="CF2581" s="3">
        <v>45953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"080068677955"</f>
        <v>080068677955</v>
      </c>
      <c r="F2582" s="3">
        <v>45952</v>
      </c>
      <c r="G2582">
        <v>202607</v>
      </c>
      <c r="H2582" t="s">
        <v>79</v>
      </c>
      <c r="I2582" t="s">
        <v>80</v>
      </c>
      <c r="J2582" t="s">
        <v>91</v>
      </c>
      <c r="K2582" t="s">
        <v>78</v>
      </c>
      <c r="L2582" t="s">
        <v>114</v>
      </c>
      <c r="M2582" t="s">
        <v>115</v>
      </c>
      <c r="N2582" t="s">
        <v>1235</v>
      </c>
      <c r="O2582" t="s">
        <v>82</v>
      </c>
      <c r="P2582" t="str">
        <f>"4170065582                    "</f>
        <v xml:space="preserve">4170065582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22.36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70.959999999999994</v>
      </c>
      <c r="BM2582">
        <v>10.64</v>
      </c>
      <c r="BN2582">
        <v>81.599999999999994</v>
      </c>
      <c r="BO2582">
        <v>81.599999999999994</v>
      </c>
      <c r="BQ2582" t="s">
        <v>1236</v>
      </c>
      <c r="BR2582" t="s">
        <v>97</v>
      </c>
      <c r="BS2582" s="3">
        <v>45954</v>
      </c>
      <c r="BT2582" s="4">
        <v>0.58750000000000002</v>
      </c>
      <c r="BU2582" t="s">
        <v>3125</v>
      </c>
      <c r="BV2582" t="s">
        <v>90</v>
      </c>
      <c r="BY2582">
        <v>1200</v>
      </c>
      <c r="CC2582" t="s">
        <v>115</v>
      </c>
      <c r="CD2582">
        <v>5200</v>
      </c>
      <c r="CE2582" t="s">
        <v>147</v>
      </c>
      <c r="CF2582" s="3">
        <v>45954</v>
      </c>
      <c r="CI2582">
        <v>1</v>
      </c>
      <c r="CJ2582">
        <v>2</v>
      </c>
      <c r="CK2582">
        <v>21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"080068677953"</f>
        <v>080068677953</v>
      </c>
      <c r="F2583" s="3">
        <v>45952</v>
      </c>
      <c r="G2583">
        <v>202607</v>
      </c>
      <c r="H2583" t="s">
        <v>79</v>
      </c>
      <c r="I2583" t="s">
        <v>80</v>
      </c>
      <c r="J2583" t="s">
        <v>91</v>
      </c>
      <c r="K2583" t="s">
        <v>78</v>
      </c>
      <c r="L2583" t="s">
        <v>92</v>
      </c>
      <c r="M2583" t="s">
        <v>93</v>
      </c>
      <c r="N2583" t="s">
        <v>1874</v>
      </c>
      <c r="O2583" t="s">
        <v>95</v>
      </c>
      <c r="P2583" t="str">
        <f>"4170065607                    "</f>
        <v xml:space="preserve">4170065607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43.23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1.4</v>
      </c>
      <c r="BK2583">
        <v>2</v>
      </c>
      <c r="BL2583">
        <v>143.08000000000001</v>
      </c>
      <c r="BM2583">
        <v>21.46</v>
      </c>
      <c r="BN2583">
        <v>164.54</v>
      </c>
      <c r="BO2583">
        <v>164.54</v>
      </c>
      <c r="BQ2583" t="s">
        <v>1875</v>
      </c>
      <c r="BR2583" t="s">
        <v>97</v>
      </c>
      <c r="BS2583" s="3">
        <v>45953</v>
      </c>
      <c r="BT2583" s="4">
        <v>0.38472222222222224</v>
      </c>
      <c r="BU2583" t="s">
        <v>3046</v>
      </c>
      <c r="BV2583" t="s">
        <v>86</v>
      </c>
      <c r="BY2583">
        <v>6840</v>
      </c>
      <c r="CA2583" t="s">
        <v>600</v>
      </c>
      <c r="CC2583" t="s">
        <v>93</v>
      </c>
      <c r="CD2583">
        <v>3201</v>
      </c>
      <c r="CE2583" t="s">
        <v>931</v>
      </c>
      <c r="CF2583" s="3">
        <v>45954</v>
      </c>
      <c r="CI2583">
        <v>2</v>
      </c>
      <c r="CJ2583">
        <v>1</v>
      </c>
      <c r="CK2583">
        <v>41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"080068677995"</f>
        <v>080068677995</v>
      </c>
      <c r="F2584" s="3">
        <v>45952</v>
      </c>
      <c r="G2584">
        <v>202607</v>
      </c>
      <c r="H2584" t="s">
        <v>79</v>
      </c>
      <c r="I2584" t="s">
        <v>80</v>
      </c>
      <c r="J2584" t="s">
        <v>91</v>
      </c>
      <c r="K2584" t="s">
        <v>78</v>
      </c>
      <c r="L2584" t="s">
        <v>180</v>
      </c>
      <c r="M2584" t="s">
        <v>181</v>
      </c>
      <c r="N2584" t="s">
        <v>182</v>
      </c>
      <c r="O2584" t="s">
        <v>82</v>
      </c>
      <c r="P2584" t="str">
        <f>"4170065434                    "</f>
        <v xml:space="preserve">4170065434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43.31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1.8</v>
      </c>
      <c r="BK2584">
        <v>2</v>
      </c>
      <c r="BL2584">
        <v>137.47</v>
      </c>
      <c r="BM2584">
        <v>20.62</v>
      </c>
      <c r="BN2584">
        <v>158.09</v>
      </c>
      <c r="BO2584">
        <v>158.09</v>
      </c>
      <c r="BQ2584" t="s">
        <v>183</v>
      </c>
      <c r="BR2584" t="s">
        <v>97</v>
      </c>
      <c r="BS2584" s="3">
        <v>45953</v>
      </c>
      <c r="BT2584" s="4">
        <v>0.57638888888888884</v>
      </c>
      <c r="BU2584" t="s">
        <v>2249</v>
      </c>
      <c r="BV2584" t="s">
        <v>86</v>
      </c>
      <c r="BY2584">
        <v>8816</v>
      </c>
      <c r="CA2584">
        <v>8410105735081</v>
      </c>
      <c r="CC2584" t="s">
        <v>181</v>
      </c>
      <c r="CD2584">
        <v>1028</v>
      </c>
      <c r="CE2584" t="s">
        <v>191</v>
      </c>
      <c r="CF2584" s="3">
        <v>45953</v>
      </c>
      <c r="CI2584">
        <v>1</v>
      </c>
      <c r="CJ2584">
        <v>1</v>
      </c>
      <c r="CK2584">
        <v>23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"080068678004"</f>
        <v>080068678004</v>
      </c>
      <c r="F2585" s="3">
        <v>45952</v>
      </c>
      <c r="G2585">
        <v>202607</v>
      </c>
      <c r="H2585" t="s">
        <v>79</v>
      </c>
      <c r="I2585" t="s">
        <v>80</v>
      </c>
      <c r="J2585" t="s">
        <v>91</v>
      </c>
      <c r="K2585" t="s">
        <v>78</v>
      </c>
      <c r="L2585" t="s">
        <v>206</v>
      </c>
      <c r="M2585" t="s">
        <v>207</v>
      </c>
      <c r="N2585" t="s">
        <v>3126</v>
      </c>
      <c r="O2585" t="s">
        <v>82</v>
      </c>
      <c r="P2585" t="str">
        <f>"4170065583                    "</f>
        <v xml:space="preserve">4170065583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22.36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70.959999999999994</v>
      </c>
      <c r="BM2585">
        <v>10.64</v>
      </c>
      <c r="BN2585">
        <v>81.599999999999994</v>
      </c>
      <c r="BO2585">
        <v>81.599999999999994</v>
      </c>
      <c r="BQ2585" t="s">
        <v>3127</v>
      </c>
      <c r="BR2585" t="s">
        <v>97</v>
      </c>
      <c r="BS2585" s="3">
        <v>45953</v>
      </c>
      <c r="BT2585" s="4">
        <v>0.55069444444444449</v>
      </c>
      <c r="BU2585" t="s">
        <v>3128</v>
      </c>
      <c r="BV2585" t="s">
        <v>90</v>
      </c>
      <c r="BY2585">
        <v>1200</v>
      </c>
      <c r="CA2585" t="s">
        <v>480</v>
      </c>
      <c r="CC2585" t="s">
        <v>207</v>
      </c>
      <c r="CD2585">
        <v>7460</v>
      </c>
      <c r="CE2585" t="s">
        <v>147</v>
      </c>
      <c r="CF2585" s="3">
        <v>45954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"080068678031"</f>
        <v>080068678031</v>
      </c>
      <c r="F2586" s="3">
        <v>45952</v>
      </c>
      <c r="G2586">
        <v>202607</v>
      </c>
      <c r="H2586" t="s">
        <v>79</v>
      </c>
      <c r="I2586" t="s">
        <v>80</v>
      </c>
      <c r="J2586" t="s">
        <v>91</v>
      </c>
      <c r="K2586" t="s">
        <v>78</v>
      </c>
      <c r="L2586" t="s">
        <v>322</v>
      </c>
      <c r="M2586" t="s">
        <v>322</v>
      </c>
      <c r="N2586" t="s">
        <v>481</v>
      </c>
      <c r="O2586" t="s">
        <v>82</v>
      </c>
      <c r="P2586" t="str">
        <f>"4170065584                    "</f>
        <v xml:space="preserve">4170065584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62.87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3</v>
      </c>
      <c r="BJ2586">
        <v>1.8</v>
      </c>
      <c r="BK2586">
        <v>3</v>
      </c>
      <c r="BL2586">
        <v>199.55</v>
      </c>
      <c r="BM2586">
        <v>29.93</v>
      </c>
      <c r="BN2586">
        <v>229.48</v>
      </c>
      <c r="BO2586">
        <v>229.48</v>
      </c>
      <c r="BQ2586" t="s">
        <v>482</v>
      </c>
      <c r="BR2586" t="s">
        <v>97</v>
      </c>
      <c r="BS2586" s="3">
        <v>45953</v>
      </c>
      <c r="BT2586" s="4">
        <v>0.53819444444444442</v>
      </c>
      <c r="BU2586" t="s">
        <v>378</v>
      </c>
      <c r="BV2586" t="s">
        <v>86</v>
      </c>
      <c r="BY2586">
        <v>8816</v>
      </c>
      <c r="CA2586" t="s">
        <v>326</v>
      </c>
      <c r="CC2586" t="s">
        <v>322</v>
      </c>
      <c r="CD2586">
        <v>7646</v>
      </c>
      <c r="CE2586" t="s">
        <v>191</v>
      </c>
      <c r="CF2586" s="3">
        <v>45954</v>
      </c>
      <c r="CI2586">
        <v>1</v>
      </c>
      <c r="CJ2586">
        <v>1</v>
      </c>
      <c r="CK2586">
        <v>23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"080068678037"</f>
        <v>080068678037</v>
      </c>
      <c r="F2587" s="3">
        <v>45952</v>
      </c>
      <c r="G2587">
        <v>202607</v>
      </c>
      <c r="H2587" t="s">
        <v>79</v>
      </c>
      <c r="I2587" t="s">
        <v>80</v>
      </c>
      <c r="J2587" t="s">
        <v>91</v>
      </c>
      <c r="K2587" t="s">
        <v>78</v>
      </c>
      <c r="L2587" t="s">
        <v>605</v>
      </c>
      <c r="M2587" t="s">
        <v>606</v>
      </c>
      <c r="N2587" t="s">
        <v>976</v>
      </c>
      <c r="O2587" t="s">
        <v>82</v>
      </c>
      <c r="P2587" t="str">
        <f>"4170065450                    "</f>
        <v xml:space="preserve">4170065450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43.31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137.47</v>
      </c>
      <c r="BM2587">
        <v>20.62</v>
      </c>
      <c r="BN2587">
        <v>158.09</v>
      </c>
      <c r="BO2587">
        <v>158.09</v>
      </c>
      <c r="BQ2587" t="s">
        <v>977</v>
      </c>
      <c r="BR2587" t="s">
        <v>97</v>
      </c>
      <c r="BS2587" s="3">
        <v>45953</v>
      </c>
      <c r="BT2587" s="4">
        <v>0.36249999999999999</v>
      </c>
      <c r="BU2587" t="s">
        <v>3077</v>
      </c>
      <c r="BV2587" t="s">
        <v>86</v>
      </c>
      <c r="BY2587">
        <v>1200</v>
      </c>
      <c r="CA2587" t="s">
        <v>1143</v>
      </c>
      <c r="CC2587" t="s">
        <v>606</v>
      </c>
      <c r="CD2587">
        <v>1947</v>
      </c>
      <c r="CE2587" t="s">
        <v>147</v>
      </c>
      <c r="CF2587" s="3">
        <v>45953</v>
      </c>
      <c r="CI2587">
        <v>1</v>
      </c>
      <c r="CJ2587">
        <v>1</v>
      </c>
      <c r="CK2587">
        <v>23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"080068678064"</f>
        <v>080068678064</v>
      </c>
      <c r="F2588" s="3">
        <v>45952</v>
      </c>
      <c r="G2588">
        <v>202607</v>
      </c>
      <c r="H2588" t="s">
        <v>79</v>
      </c>
      <c r="I2588" t="s">
        <v>80</v>
      </c>
      <c r="J2588" t="s">
        <v>91</v>
      </c>
      <c r="K2588" t="s">
        <v>78</v>
      </c>
      <c r="L2588" t="s">
        <v>108</v>
      </c>
      <c r="M2588" t="s">
        <v>109</v>
      </c>
      <c r="N2588" t="s">
        <v>938</v>
      </c>
      <c r="O2588" t="s">
        <v>82</v>
      </c>
      <c r="P2588" t="str">
        <f>"4170065274                    "</f>
        <v xml:space="preserve">4170065274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22.36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70.959999999999994</v>
      </c>
      <c r="BM2588">
        <v>10.64</v>
      </c>
      <c r="BN2588">
        <v>81.599999999999994</v>
      </c>
      <c r="BO2588">
        <v>81.599999999999994</v>
      </c>
      <c r="BQ2588" t="s">
        <v>939</v>
      </c>
      <c r="BR2588" t="s">
        <v>97</v>
      </c>
      <c r="BS2588" s="3">
        <v>45953</v>
      </c>
      <c r="BT2588" s="4">
        <v>0.42291666666666666</v>
      </c>
      <c r="BU2588" t="s">
        <v>1936</v>
      </c>
      <c r="BV2588" t="s">
        <v>86</v>
      </c>
      <c r="BY2588">
        <v>1200</v>
      </c>
      <c r="CA2588" t="s">
        <v>1145</v>
      </c>
      <c r="CC2588" t="s">
        <v>109</v>
      </c>
      <c r="CD2588">
        <v>6056</v>
      </c>
      <c r="CE2588" t="s">
        <v>147</v>
      </c>
      <c r="CF2588" s="3">
        <v>45953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"080068678096"</f>
        <v>080068678096</v>
      </c>
      <c r="F2589" s="3">
        <v>45952</v>
      </c>
      <c r="G2589">
        <v>202607</v>
      </c>
      <c r="H2589" t="s">
        <v>79</v>
      </c>
      <c r="I2589" t="s">
        <v>80</v>
      </c>
      <c r="J2589" t="s">
        <v>91</v>
      </c>
      <c r="K2589" t="s">
        <v>78</v>
      </c>
      <c r="L2589" t="s">
        <v>121</v>
      </c>
      <c r="M2589" t="s">
        <v>122</v>
      </c>
      <c r="N2589" t="s">
        <v>1278</v>
      </c>
      <c r="O2589" t="s">
        <v>82</v>
      </c>
      <c r="P2589" t="str">
        <f>"4170065504                    "</f>
        <v xml:space="preserve">4170065504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134.04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5</v>
      </c>
      <c r="BJ2589">
        <v>11.8</v>
      </c>
      <c r="BK2589">
        <v>12</v>
      </c>
      <c r="BL2589">
        <v>425.44</v>
      </c>
      <c r="BM2589">
        <v>63.82</v>
      </c>
      <c r="BN2589">
        <v>489.26</v>
      </c>
      <c r="BO2589">
        <v>489.26</v>
      </c>
      <c r="BQ2589" t="s">
        <v>1279</v>
      </c>
      <c r="BR2589" t="s">
        <v>97</v>
      </c>
      <c r="BS2589" s="3">
        <v>45953</v>
      </c>
      <c r="BT2589" s="4">
        <v>0.43888888888888888</v>
      </c>
      <c r="BU2589" t="s">
        <v>1404</v>
      </c>
      <c r="BV2589" t="s">
        <v>90</v>
      </c>
      <c r="BY2589">
        <v>58800</v>
      </c>
      <c r="CA2589" t="s">
        <v>651</v>
      </c>
      <c r="CC2589" t="s">
        <v>122</v>
      </c>
      <c r="CD2589">
        <v>4000</v>
      </c>
      <c r="CE2589" t="s">
        <v>107</v>
      </c>
      <c r="CF2589" s="3">
        <v>45954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"080068678110"</f>
        <v>080068678110</v>
      </c>
      <c r="F2590" s="3">
        <v>45952</v>
      </c>
      <c r="G2590">
        <v>202607</v>
      </c>
      <c r="H2590" t="s">
        <v>79</v>
      </c>
      <c r="I2590" t="s">
        <v>80</v>
      </c>
      <c r="J2590" t="s">
        <v>91</v>
      </c>
      <c r="K2590" t="s">
        <v>78</v>
      </c>
      <c r="L2590" t="s">
        <v>168</v>
      </c>
      <c r="M2590" t="s">
        <v>169</v>
      </c>
      <c r="N2590" t="s">
        <v>1105</v>
      </c>
      <c r="O2590" t="s">
        <v>82</v>
      </c>
      <c r="P2590" t="str">
        <f>"4170065511                    "</f>
        <v xml:space="preserve">4170065511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22.36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70.959999999999994</v>
      </c>
      <c r="BM2590">
        <v>10.64</v>
      </c>
      <c r="BN2590">
        <v>81.599999999999994</v>
      </c>
      <c r="BO2590">
        <v>81.599999999999994</v>
      </c>
      <c r="BQ2590" t="s">
        <v>1106</v>
      </c>
      <c r="BR2590" t="s">
        <v>97</v>
      </c>
      <c r="BS2590" s="3">
        <v>45953</v>
      </c>
      <c r="BT2590" s="4">
        <v>0.5229166666666667</v>
      </c>
      <c r="BU2590" t="s">
        <v>1107</v>
      </c>
      <c r="BV2590" t="s">
        <v>86</v>
      </c>
      <c r="BY2590">
        <v>1200</v>
      </c>
      <c r="CA2590">
        <v>9007085496087</v>
      </c>
      <c r="CC2590" t="s">
        <v>169</v>
      </c>
      <c r="CD2590" s="5" t="s">
        <v>1108</v>
      </c>
      <c r="CE2590" t="s">
        <v>147</v>
      </c>
      <c r="CF2590" s="3">
        <v>45953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"080068678123"</f>
        <v>080068678123</v>
      </c>
      <c r="F2591" s="3">
        <v>45952</v>
      </c>
      <c r="G2591">
        <v>202607</v>
      </c>
      <c r="H2591" t="s">
        <v>79</v>
      </c>
      <c r="I2591" t="s">
        <v>80</v>
      </c>
      <c r="J2591" t="s">
        <v>91</v>
      </c>
      <c r="K2591" t="s">
        <v>78</v>
      </c>
      <c r="L2591" t="s">
        <v>453</v>
      </c>
      <c r="M2591" t="s">
        <v>454</v>
      </c>
      <c r="N2591" t="s">
        <v>581</v>
      </c>
      <c r="O2591" t="s">
        <v>82</v>
      </c>
      <c r="P2591" t="str">
        <f>"4170065360                    "</f>
        <v xml:space="preserve">4170065360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22.36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1.4</v>
      </c>
      <c r="BK2591">
        <v>1.5</v>
      </c>
      <c r="BL2591">
        <v>70.959999999999994</v>
      </c>
      <c r="BM2591">
        <v>10.64</v>
      </c>
      <c r="BN2591">
        <v>81.599999999999994</v>
      </c>
      <c r="BO2591">
        <v>81.599999999999994</v>
      </c>
      <c r="BQ2591" t="s">
        <v>582</v>
      </c>
      <c r="BR2591" t="s">
        <v>97</v>
      </c>
      <c r="BS2591" s="3">
        <v>45953</v>
      </c>
      <c r="BT2591" s="4">
        <v>0.44374999999999998</v>
      </c>
      <c r="BU2591" t="s">
        <v>3069</v>
      </c>
      <c r="BV2591" t="s">
        <v>86</v>
      </c>
      <c r="BY2591">
        <v>7000</v>
      </c>
      <c r="CA2591" t="s">
        <v>742</v>
      </c>
      <c r="CC2591" t="s">
        <v>454</v>
      </c>
      <c r="CD2591">
        <v>3610</v>
      </c>
      <c r="CE2591" t="s">
        <v>191</v>
      </c>
      <c r="CF2591" s="3">
        <v>45953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"080068678136"</f>
        <v>080068678136</v>
      </c>
      <c r="F2592" s="3">
        <v>45952</v>
      </c>
      <c r="G2592">
        <v>202607</v>
      </c>
      <c r="H2592" t="s">
        <v>79</v>
      </c>
      <c r="I2592" t="s">
        <v>80</v>
      </c>
      <c r="J2592" t="s">
        <v>91</v>
      </c>
      <c r="K2592" t="s">
        <v>78</v>
      </c>
      <c r="L2592" t="s">
        <v>206</v>
      </c>
      <c r="M2592" t="s">
        <v>207</v>
      </c>
      <c r="N2592" t="s">
        <v>656</v>
      </c>
      <c r="O2592" t="s">
        <v>82</v>
      </c>
      <c r="P2592" t="str">
        <f>"4170065346                    "</f>
        <v xml:space="preserve">4170065346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22.36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70.959999999999994</v>
      </c>
      <c r="BM2592">
        <v>10.64</v>
      </c>
      <c r="BN2592">
        <v>81.599999999999994</v>
      </c>
      <c r="BO2592">
        <v>81.599999999999994</v>
      </c>
      <c r="BQ2592" t="s">
        <v>657</v>
      </c>
      <c r="BR2592" t="s">
        <v>97</v>
      </c>
      <c r="BS2592" s="3">
        <v>45953</v>
      </c>
      <c r="BT2592" s="4">
        <v>0.42777777777777776</v>
      </c>
      <c r="BU2592" t="s">
        <v>658</v>
      </c>
      <c r="BV2592" t="s">
        <v>86</v>
      </c>
      <c r="BY2592">
        <v>1200</v>
      </c>
      <c r="CA2592" t="s">
        <v>211</v>
      </c>
      <c r="CC2592" t="s">
        <v>207</v>
      </c>
      <c r="CD2592">
        <v>7405</v>
      </c>
      <c r="CE2592" t="s">
        <v>147</v>
      </c>
      <c r="CF2592" s="3">
        <v>45954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"080068678166"</f>
        <v>080068678166</v>
      </c>
      <c r="F2593" s="3">
        <v>45952</v>
      </c>
      <c r="G2593">
        <v>202607</v>
      </c>
      <c r="H2593" t="s">
        <v>79</v>
      </c>
      <c r="I2593" t="s">
        <v>80</v>
      </c>
      <c r="J2593" t="s">
        <v>91</v>
      </c>
      <c r="K2593" t="s">
        <v>78</v>
      </c>
      <c r="L2593" t="s">
        <v>453</v>
      </c>
      <c r="M2593" t="s">
        <v>454</v>
      </c>
      <c r="N2593" t="s">
        <v>665</v>
      </c>
      <c r="O2593" t="s">
        <v>82</v>
      </c>
      <c r="P2593" t="str">
        <f>"4170065397                    "</f>
        <v xml:space="preserve">4170065397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22.36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70.959999999999994</v>
      </c>
      <c r="BM2593">
        <v>10.64</v>
      </c>
      <c r="BN2593">
        <v>81.599999999999994</v>
      </c>
      <c r="BO2593">
        <v>81.599999999999994</v>
      </c>
      <c r="BQ2593" t="s">
        <v>666</v>
      </c>
      <c r="BR2593" t="s">
        <v>97</v>
      </c>
      <c r="BS2593" s="3">
        <v>45953</v>
      </c>
      <c r="BT2593" s="4">
        <v>0.44027777777777777</v>
      </c>
      <c r="BU2593" t="s">
        <v>3105</v>
      </c>
      <c r="BV2593" t="s">
        <v>86</v>
      </c>
      <c r="BY2593">
        <v>1200</v>
      </c>
      <c r="CA2593" t="s">
        <v>742</v>
      </c>
      <c r="CC2593" t="s">
        <v>454</v>
      </c>
      <c r="CD2593">
        <v>3610</v>
      </c>
      <c r="CE2593" t="s">
        <v>147</v>
      </c>
      <c r="CF2593" s="3">
        <v>45953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"080068678205"</f>
        <v>080068678205</v>
      </c>
      <c r="F2594" s="3">
        <v>45952</v>
      </c>
      <c r="G2594">
        <v>202607</v>
      </c>
      <c r="H2594" t="s">
        <v>79</v>
      </c>
      <c r="I2594" t="s">
        <v>80</v>
      </c>
      <c r="J2594" t="s">
        <v>91</v>
      </c>
      <c r="K2594" t="s">
        <v>78</v>
      </c>
      <c r="L2594" t="s">
        <v>108</v>
      </c>
      <c r="M2594" t="s">
        <v>109</v>
      </c>
      <c r="N2594" t="s">
        <v>938</v>
      </c>
      <c r="O2594" t="s">
        <v>82</v>
      </c>
      <c r="P2594" t="str">
        <f>"4170065604                    "</f>
        <v xml:space="preserve">4170065604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22.36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70.959999999999994</v>
      </c>
      <c r="BM2594">
        <v>10.64</v>
      </c>
      <c r="BN2594">
        <v>81.599999999999994</v>
      </c>
      <c r="BO2594">
        <v>81.599999999999994</v>
      </c>
      <c r="BQ2594" t="s">
        <v>939</v>
      </c>
      <c r="BR2594" t="s">
        <v>97</v>
      </c>
      <c r="BS2594" s="3">
        <v>45953</v>
      </c>
      <c r="BT2594" s="4">
        <v>0.42291666666666666</v>
      </c>
      <c r="BU2594" t="s">
        <v>1936</v>
      </c>
      <c r="BV2594" t="s">
        <v>86</v>
      </c>
      <c r="BY2594">
        <v>1200</v>
      </c>
      <c r="CA2594" t="s">
        <v>1145</v>
      </c>
      <c r="CC2594" t="s">
        <v>109</v>
      </c>
      <c r="CD2594">
        <v>6056</v>
      </c>
      <c r="CE2594" t="s">
        <v>147</v>
      </c>
      <c r="CF2594" s="3">
        <v>45953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"080068678219"</f>
        <v>080068678219</v>
      </c>
      <c r="F2595" s="3">
        <v>45952</v>
      </c>
      <c r="G2595">
        <v>202607</v>
      </c>
      <c r="H2595" t="s">
        <v>79</v>
      </c>
      <c r="I2595" t="s">
        <v>80</v>
      </c>
      <c r="J2595" t="s">
        <v>91</v>
      </c>
      <c r="K2595" t="s">
        <v>78</v>
      </c>
      <c r="L2595" t="s">
        <v>148</v>
      </c>
      <c r="M2595" t="s">
        <v>149</v>
      </c>
      <c r="N2595" t="s">
        <v>497</v>
      </c>
      <c r="O2595" t="s">
        <v>82</v>
      </c>
      <c r="P2595" t="str">
        <f>"4170065350                    "</f>
        <v xml:space="preserve">4170065350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17.46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16.739999999999998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72.16</v>
      </c>
      <c r="BM2595">
        <v>10.82</v>
      </c>
      <c r="BN2595">
        <v>82.98</v>
      </c>
      <c r="BO2595">
        <v>82.98</v>
      </c>
      <c r="BQ2595" t="s">
        <v>498</v>
      </c>
      <c r="BR2595" t="s">
        <v>97</v>
      </c>
      <c r="BS2595" s="3">
        <v>45953</v>
      </c>
      <c r="BT2595" s="4">
        <v>0.4284722222222222</v>
      </c>
      <c r="BU2595" t="s">
        <v>499</v>
      </c>
      <c r="BV2595" t="s">
        <v>86</v>
      </c>
      <c r="BY2595">
        <v>1200</v>
      </c>
      <c r="BZ2595" t="s">
        <v>30</v>
      </c>
      <c r="CA2595" t="s">
        <v>501</v>
      </c>
      <c r="CC2595" t="s">
        <v>149</v>
      </c>
      <c r="CD2595">
        <v>2188</v>
      </c>
      <c r="CE2595" t="s">
        <v>147</v>
      </c>
      <c r="CF2595" s="3">
        <v>45954</v>
      </c>
      <c r="CI2595">
        <v>1</v>
      </c>
      <c r="CJ2595">
        <v>1</v>
      </c>
      <c r="CK2595">
        <v>22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"080068678249"</f>
        <v>080068678249</v>
      </c>
      <c r="F2596" s="3">
        <v>45952</v>
      </c>
      <c r="G2596">
        <v>202607</v>
      </c>
      <c r="H2596" t="s">
        <v>79</v>
      </c>
      <c r="I2596" t="s">
        <v>80</v>
      </c>
      <c r="J2596" t="s">
        <v>91</v>
      </c>
      <c r="K2596" t="s">
        <v>78</v>
      </c>
      <c r="L2596" t="s">
        <v>108</v>
      </c>
      <c r="M2596" t="s">
        <v>109</v>
      </c>
      <c r="N2596" t="s">
        <v>291</v>
      </c>
      <c r="O2596" t="s">
        <v>82</v>
      </c>
      <c r="P2596" t="str">
        <f>"4170065611                    "</f>
        <v xml:space="preserve">4170065611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22.36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70.959999999999994</v>
      </c>
      <c r="BM2596">
        <v>10.64</v>
      </c>
      <c r="BN2596">
        <v>81.599999999999994</v>
      </c>
      <c r="BO2596">
        <v>81.599999999999994</v>
      </c>
      <c r="BQ2596" t="s">
        <v>292</v>
      </c>
      <c r="BR2596" t="s">
        <v>97</v>
      </c>
      <c r="BS2596" s="3">
        <v>45953</v>
      </c>
      <c r="BT2596" s="4">
        <v>0.38055555555555554</v>
      </c>
      <c r="BU2596" t="s">
        <v>3129</v>
      </c>
      <c r="BV2596" t="s">
        <v>86</v>
      </c>
      <c r="BY2596">
        <v>1200</v>
      </c>
      <c r="CA2596" t="s">
        <v>3130</v>
      </c>
      <c r="CC2596" t="s">
        <v>109</v>
      </c>
      <c r="CD2596">
        <v>6001</v>
      </c>
      <c r="CE2596" t="s">
        <v>147</v>
      </c>
      <c r="CF2596" s="3">
        <v>45953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"080068678256"</f>
        <v>080068678256</v>
      </c>
      <c r="F2597" s="3">
        <v>45952</v>
      </c>
      <c r="G2597">
        <v>202607</v>
      </c>
      <c r="H2597" t="s">
        <v>79</v>
      </c>
      <c r="I2597" t="s">
        <v>80</v>
      </c>
      <c r="J2597" t="s">
        <v>91</v>
      </c>
      <c r="K2597" t="s">
        <v>78</v>
      </c>
      <c r="L2597" t="s">
        <v>453</v>
      </c>
      <c r="M2597" t="s">
        <v>454</v>
      </c>
      <c r="N2597" t="s">
        <v>581</v>
      </c>
      <c r="O2597" t="s">
        <v>82</v>
      </c>
      <c r="P2597" t="str">
        <f>"4170065345                    "</f>
        <v xml:space="preserve">4170065345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22.36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70.959999999999994</v>
      </c>
      <c r="BM2597">
        <v>10.64</v>
      </c>
      <c r="BN2597">
        <v>81.599999999999994</v>
      </c>
      <c r="BO2597">
        <v>81.599999999999994</v>
      </c>
      <c r="BQ2597" t="s">
        <v>582</v>
      </c>
      <c r="BR2597" t="s">
        <v>97</v>
      </c>
      <c r="BS2597" s="3">
        <v>45953</v>
      </c>
      <c r="BT2597" s="4">
        <v>0.44374999999999998</v>
      </c>
      <c r="BU2597" t="s">
        <v>3069</v>
      </c>
      <c r="BV2597" t="s">
        <v>86</v>
      </c>
      <c r="BY2597">
        <v>1200</v>
      </c>
      <c r="CA2597" t="s">
        <v>742</v>
      </c>
      <c r="CC2597" t="s">
        <v>454</v>
      </c>
      <c r="CD2597">
        <v>3610</v>
      </c>
      <c r="CE2597" t="s">
        <v>147</v>
      </c>
      <c r="CF2597" s="3">
        <v>45953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"080068678271"</f>
        <v>080068678271</v>
      </c>
      <c r="F2598" s="3">
        <v>45952</v>
      </c>
      <c r="G2598">
        <v>202607</v>
      </c>
      <c r="H2598" t="s">
        <v>79</v>
      </c>
      <c r="I2598" t="s">
        <v>80</v>
      </c>
      <c r="J2598" t="s">
        <v>91</v>
      </c>
      <c r="K2598" t="s">
        <v>78</v>
      </c>
      <c r="L2598" t="s">
        <v>148</v>
      </c>
      <c r="M2598" t="s">
        <v>149</v>
      </c>
      <c r="N2598" t="s">
        <v>3131</v>
      </c>
      <c r="O2598" t="s">
        <v>82</v>
      </c>
      <c r="P2598" t="str">
        <f>"4170065459                    "</f>
        <v xml:space="preserve">4170065459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17.46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3</v>
      </c>
      <c r="BJ2598">
        <v>0.9</v>
      </c>
      <c r="BK2598">
        <v>3</v>
      </c>
      <c r="BL2598">
        <v>55.42</v>
      </c>
      <c r="BM2598">
        <v>8.31</v>
      </c>
      <c r="BN2598">
        <v>63.73</v>
      </c>
      <c r="BO2598">
        <v>63.73</v>
      </c>
      <c r="BQ2598" t="s">
        <v>3132</v>
      </c>
      <c r="BR2598" t="s">
        <v>97</v>
      </c>
      <c r="BS2598" s="3">
        <v>45953</v>
      </c>
      <c r="BT2598" s="4">
        <v>0.38541666666666669</v>
      </c>
      <c r="BU2598" t="s">
        <v>3133</v>
      </c>
      <c r="BV2598" t="s">
        <v>86</v>
      </c>
      <c r="BY2598">
        <v>4275</v>
      </c>
      <c r="CA2598" t="s">
        <v>3134</v>
      </c>
      <c r="CC2598" t="s">
        <v>149</v>
      </c>
      <c r="CD2598">
        <v>2062</v>
      </c>
      <c r="CE2598" t="s">
        <v>191</v>
      </c>
      <c r="CF2598" s="3">
        <v>45953</v>
      </c>
      <c r="CI2598">
        <v>1</v>
      </c>
      <c r="CJ2598">
        <v>1</v>
      </c>
      <c r="CK2598">
        <v>22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"080068678280"</f>
        <v>080068678280</v>
      </c>
      <c r="F2599" s="3">
        <v>45952</v>
      </c>
      <c r="G2599">
        <v>202607</v>
      </c>
      <c r="H2599" t="s">
        <v>79</v>
      </c>
      <c r="I2599" t="s">
        <v>80</v>
      </c>
      <c r="J2599" t="s">
        <v>91</v>
      </c>
      <c r="K2599" t="s">
        <v>78</v>
      </c>
      <c r="L2599" t="s">
        <v>108</v>
      </c>
      <c r="M2599" t="s">
        <v>109</v>
      </c>
      <c r="N2599" t="s">
        <v>229</v>
      </c>
      <c r="O2599" t="s">
        <v>82</v>
      </c>
      <c r="P2599" t="str">
        <f>"4170065600                    "</f>
        <v xml:space="preserve">4170065600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22.36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70.959999999999994</v>
      </c>
      <c r="BM2599">
        <v>10.64</v>
      </c>
      <c r="BN2599">
        <v>81.599999999999994</v>
      </c>
      <c r="BO2599">
        <v>81.599999999999994</v>
      </c>
      <c r="BQ2599" t="s">
        <v>230</v>
      </c>
      <c r="BR2599" t="s">
        <v>97</v>
      </c>
      <c r="BS2599" s="3">
        <v>45953</v>
      </c>
      <c r="BT2599" s="4">
        <v>0.40347222222222223</v>
      </c>
      <c r="BU2599" t="s">
        <v>1959</v>
      </c>
      <c r="BV2599" t="s">
        <v>86</v>
      </c>
      <c r="BY2599">
        <v>1200</v>
      </c>
      <c r="CA2599" t="s">
        <v>1145</v>
      </c>
      <c r="CC2599" t="s">
        <v>109</v>
      </c>
      <c r="CD2599">
        <v>6001</v>
      </c>
      <c r="CE2599" t="s">
        <v>147</v>
      </c>
      <c r="CF2599" s="3">
        <v>45953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"080068678312"</f>
        <v>080068678312</v>
      </c>
      <c r="F2600" s="3">
        <v>45952</v>
      </c>
      <c r="G2600">
        <v>202607</v>
      </c>
      <c r="H2600" t="s">
        <v>79</v>
      </c>
      <c r="I2600" t="s">
        <v>80</v>
      </c>
      <c r="J2600" t="s">
        <v>91</v>
      </c>
      <c r="K2600" t="s">
        <v>78</v>
      </c>
      <c r="L2600" t="s">
        <v>168</v>
      </c>
      <c r="M2600" t="s">
        <v>169</v>
      </c>
      <c r="N2600" t="s">
        <v>2484</v>
      </c>
      <c r="O2600" t="s">
        <v>82</v>
      </c>
      <c r="P2600" t="str">
        <f>"4170065579                    "</f>
        <v xml:space="preserve">4170065579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22.36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0.7</v>
      </c>
      <c r="BK2600">
        <v>1</v>
      </c>
      <c r="BL2600">
        <v>70.959999999999994</v>
      </c>
      <c r="BM2600">
        <v>10.64</v>
      </c>
      <c r="BN2600">
        <v>81.599999999999994</v>
      </c>
      <c r="BO2600">
        <v>81.599999999999994</v>
      </c>
      <c r="BQ2600" t="s">
        <v>2485</v>
      </c>
      <c r="BR2600" t="s">
        <v>97</v>
      </c>
      <c r="BS2600" s="3">
        <v>45953</v>
      </c>
      <c r="BT2600" s="4">
        <v>0.42638888888888887</v>
      </c>
      <c r="BU2600" t="s">
        <v>3135</v>
      </c>
      <c r="BV2600" t="s">
        <v>86</v>
      </c>
      <c r="BY2600">
        <v>3306</v>
      </c>
      <c r="CA2600">
        <v>8507115621084</v>
      </c>
      <c r="CC2600" t="s">
        <v>169</v>
      </c>
      <c r="CD2600" s="5" t="s">
        <v>1061</v>
      </c>
      <c r="CE2600" t="s">
        <v>191</v>
      </c>
      <c r="CF2600" s="3">
        <v>45953</v>
      </c>
      <c r="CI2600">
        <v>1</v>
      </c>
      <c r="CJ2600">
        <v>1</v>
      </c>
      <c r="CK2600">
        <v>21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"080068678317"</f>
        <v>080068678317</v>
      </c>
      <c r="F2601" s="3">
        <v>45952</v>
      </c>
      <c r="G2601">
        <v>202607</v>
      </c>
      <c r="H2601" t="s">
        <v>79</v>
      </c>
      <c r="I2601" t="s">
        <v>80</v>
      </c>
      <c r="J2601" t="s">
        <v>91</v>
      </c>
      <c r="K2601" t="s">
        <v>78</v>
      </c>
      <c r="L2601" t="s">
        <v>223</v>
      </c>
      <c r="M2601" t="s">
        <v>224</v>
      </c>
      <c r="N2601" t="s">
        <v>505</v>
      </c>
      <c r="O2601" t="s">
        <v>82</v>
      </c>
      <c r="P2601" t="str">
        <f>"4170065383                    "</f>
        <v xml:space="preserve">4170065383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17.46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55.42</v>
      </c>
      <c r="BM2601">
        <v>8.31</v>
      </c>
      <c r="BN2601">
        <v>63.73</v>
      </c>
      <c r="BO2601">
        <v>63.73</v>
      </c>
      <c r="BQ2601" t="s">
        <v>506</v>
      </c>
      <c r="BR2601" t="s">
        <v>97</v>
      </c>
      <c r="BS2601" s="3">
        <v>45953</v>
      </c>
      <c r="BT2601" s="4">
        <v>0.32430555555555557</v>
      </c>
      <c r="BU2601" t="s">
        <v>507</v>
      </c>
      <c r="BV2601" t="s">
        <v>86</v>
      </c>
      <c r="BY2601">
        <v>1200</v>
      </c>
      <c r="CA2601" t="s">
        <v>508</v>
      </c>
      <c r="CC2601" t="s">
        <v>224</v>
      </c>
      <c r="CD2601">
        <v>1459</v>
      </c>
      <c r="CE2601" t="s">
        <v>147</v>
      </c>
      <c r="CF2601" s="3">
        <v>45953</v>
      </c>
      <c r="CI2601">
        <v>1</v>
      </c>
      <c r="CJ2601">
        <v>1</v>
      </c>
      <c r="CK2601">
        <v>22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"080068678497"</f>
        <v>080068678497</v>
      </c>
      <c r="F2602" s="3">
        <v>45952</v>
      </c>
      <c r="G2602">
        <v>202607</v>
      </c>
      <c r="H2602" t="s">
        <v>79</v>
      </c>
      <c r="I2602" t="s">
        <v>80</v>
      </c>
      <c r="J2602" t="s">
        <v>91</v>
      </c>
      <c r="K2602" t="s">
        <v>78</v>
      </c>
      <c r="L2602" t="s">
        <v>114</v>
      </c>
      <c r="M2602" t="s">
        <v>115</v>
      </c>
      <c r="N2602" t="s">
        <v>2120</v>
      </c>
      <c r="O2602" t="s">
        <v>82</v>
      </c>
      <c r="P2602" t="str">
        <f>"4170065561                    "</f>
        <v xml:space="preserve">4170065561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22.36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1.1000000000000001</v>
      </c>
      <c r="BK2602">
        <v>1.5</v>
      </c>
      <c r="BL2602">
        <v>70.959999999999994</v>
      </c>
      <c r="BM2602">
        <v>10.64</v>
      </c>
      <c r="BN2602">
        <v>81.599999999999994</v>
      </c>
      <c r="BO2602">
        <v>81.599999999999994</v>
      </c>
      <c r="BQ2602" t="s">
        <v>2121</v>
      </c>
      <c r="BR2602" t="s">
        <v>97</v>
      </c>
      <c r="BS2602" s="3">
        <v>45953</v>
      </c>
      <c r="BT2602" s="4">
        <v>0.64861111111111114</v>
      </c>
      <c r="BU2602" t="s">
        <v>3136</v>
      </c>
      <c r="BV2602" t="s">
        <v>86</v>
      </c>
      <c r="BY2602">
        <v>5510</v>
      </c>
      <c r="CA2602" t="s">
        <v>119</v>
      </c>
      <c r="CC2602" t="s">
        <v>115</v>
      </c>
      <c r="CD2602">
        <v>5201</v>
      </c>
      <c r="CE2602" t="s">
        <v>191</v>
      </c>
      <c r="CF2602" s="3">
        <v>45954</v>
      </c>
      <c r="CI2602">
        <v>5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"080068678532"</f>
        <v>080068678532</v>
      </c>
      <c r="F2603" s="3">
        <v>45952</v>
      </c>
      <c r="G2603">
        <v>202607</v>
      </c>
      <c r="H2603" t="s">
        <v>79</v>
      </c>
      <c r="I2603" t="s">
        <v>80</v>
      </c>
      <c r="J2603" t="s">
        <v>91</v>
      </c>
      <c r="K2603" t="s">
        <v>78</v>
      </c>
      <c r="L2603" t="s">
        <v>148</v>
      </c>
      <c r="M2603" t="s">
        <v>149</v>
      </c>
      <c r="N2603" t="s">
        <v>465</v>
      </c>
      <c r="O2603" t="s">
        <v>82</v>
      </c>
      <c r="P2603" t="str">
        <f>"4170065605                    "</f>
        <v xml:space="preserve">4170065605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17.46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3</v>
      </c>
      <c r="BJ2603">
        <v>1.1000000000000001</v>
      </c>
      <c r="BK2603">
        <v>3</v>
      </c>
      <c r="BL2603">
        <v>55.42</v>
      </c>
      <c r="BM2603">
        <v>8.31</v>
      </c>
      <c r="BN2603">
        <v>63.73</v>
      </c>
      <c r="BO2603">
        <v>63.73</v>
      </c>
      <c r="BQ2603" t="s">
        <v>466</v>
      </c>
      <c r="BR2603" t="s">
        <v>97</v>
      </c>
      <c r="BS2603" s="3">
        <v>45953</v>
      </c>
      <c r="BT2603" s="4">
        <v>0.41666666666666669</v>
      </c>
      <c r="BU2603" t="s">
        <v>1658</v>
      </c>
      <c r="BV2603" t="s">
        <v>86</v>
      </c>
      <c r="BY2603">
        <v>5510</v>
      </c>
      <c r="CA2603" t="s">
        <v>2853</v>
      </c>
      <c r="CC2603" t="s">
        <v>149</v>
      </c>
      <c r="CD2603">
        <v>2094</v>
      </c>
      <c r="CE2603" t="s">
        <v>191</v>
      </c>
      <c r="CF2603" s="3">
        <v>45954</v>
      </c>
      <c r="CI2603">
        <v>1</v>
      </c>
      <c r="CJ2603">
        <v>1</v>
      </c>
      <c r="CK2603">
        <v>22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"080068678549"</f>
        <v>080068678549</v>
      </c>
      <c r="F2604" s="3">
        <v>45952</v>
      </c>
      <c r="G2604">
        <v>202607</v>
      </c>
      <c r="H2604" t="s">
        <v>79</v>
      </c>
      <c r="I2604" t="s">
        <v>80</v>
      </c>
      <c r="J2604" t="s">
        <v>91</v>
      </c>
      <c r="K2604" t="s">
        <v>78</v>
      </c>
      <c r="L2604" t="s">
        <v>92</v>
      </c>
      <c r="M2604" t="s">
        <v>93</v>
      </c>
      <c r="N2604" t="s">
        <v>1495</v>
      </c>
      <c r="O2604" t="s">
        <v>82</v>
      </c>
      <c r="P2604" t="str">
        <f>"4170065396                    "</f>
        <v xml:space="preserve">4170065396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22.36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70.959999999999994</v>
      </c>
      <c r="BM2604">
        <v>10.64</v>
      </c>
      <c r="BN2604">
        <v>81.599999999999994</v>
      </c>
      <c r="BO2604">
        <v>81.599999999999994</v>
      </c>
      <c r="BQ2604" t="s">
        <v>1496</v>
      </c>
      <c r="BR2604" t="s">
        <v>97</v>
      </c>
      <c r="BS2604" s="3">
        <v>45953</v>
      </c>
      <c r="BT2604" s="4">
        <v>0.46527777777777779</v>
      </c>
      <c r="BU2604" t="s">
        <v>3137</v>
      </c>
      <c r="BV2604" t="s">
        <v>86</v>
      </c>
      <c r="BY2604">
        <v>1200</v>
      </c>
      <c r="CA2604" t="s">
        <v>100</v>
      </c>
      <c r="CC2604" t="s">
        <v>93</v>
      </c>
      <c r="CD2604">
        <v>3201</v>
      </c>
      <c r="CE2604" t="s">
        <v>147</v>
      </c>
      <c r="CF2604" s="3">
        <v>45954</v>
      </c>
      <c r="CI2604">
        <v>1</v>
      </c>
      <c r="CJ2604">
        <v>1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"080068678554"</f>
        <v>080068678554</v>
      </c>
      <c r="F2605" s="3">
        <v>45952</v>
      </c>
      <c r="G2605">
        <v>202607</v>
      </c>
      <c r="H2605" t="s">
        <v>79</v>
      </c>
      <c r="I2605" t="s">
        <v>80</v>
      </c>
      <c r="J2605" t="s">
        <v>91</v>
      </c>
      <c r="K2605" t="s">
        <v>78</v>
      </c>
      <c r="L2605" t="s">
        <v>148</v>
      </c>
      <c r="M2605" t="s">
        <v>149</v>
      </c>
      <c r="N2605" t="s">
        <v>465</v>
      </c>
      <c r="O2605" t="s">
        <v>82</v>
      </c>
      <c r="P2605" t="str">
        <f>"4170065612                    "</f>
        <v xml:space="preserve">4170065612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17.46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1.8</v>
      </c>
      <c r="BK2605">
        <v>2</v>
      </c>
      <c r="BL2605">
        <v>55.42</v>
      </c>
      <c r="BM2605">
        <v>8.31</v>
      </c>
      <c r="BN2605">
        <v>63.73</v>
      </c>
      <c r="BO2605">
        <v>63.73</v>
      </c>
      <c r="BQ2605" t="s">
        <v>466</v>
      </c>
      <c r="BR2605" t="s">
        <v>97</v>
      </c>
      <c r="BS2605" s="3">
        <v>45953</v>
      </c>
      <c r="BT2605" s="4">
        <v>0.41666666666666669</v>
      </c>
      <c r="BU2605" t="s">
        <v>1658</v>
      </c>
      <c r="BV2605" t="s">
        <v>86</v>
      </c>
      <c r="BY2605">
        <v>8816</v>
      </c>
      <c r="CA2605" t="s">
        <v>2853</v>
      </c>
      <c r="CC2605" t="s">
        <v>149</v>
      </c>
      <c r="CD2605">
        <v>2094</v>
      </c>
      <c r="CE2605" t="s">
        <v>191</v>
      </c>
      <c r="CF2605" s="3">
        <v>45954</v>
      </c>
      <c r="CI2605">
        <v>1</v>
      </c>
      <c r="CJ2605">
        <v>1</v>
      </c>
      <c r="CK2605">
        <v>22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"080068678569"</f>
        <v>080068678569</v>
      </c>
      <c r="F2606" s="3">
        <v>45952</v>
      </c>
      <c r="G2606">
        <v>202607</v>
      </c>
      <c r="H2606" t="s">
        <v>79</v>
      </c>
      <c r="I2606" t="s">
        <v>80</v>
      </c>
      <c r="J2606" t="s">
        <v>91</v>
      </c>
      <c r="K2606" t="s">
        <v>78</v>
      </c>
      <c r="L2606" t="s">
        <v>265</v>
      </c>
      <c r="M2606" t="s">
        <v>266</v>
      </c>
      <c r="N2606" t="s">
        <v>3138</v>
      </c>
      <c r="O2606" t="s">
        <v>82</v>
      </c>
      <c r="P2606" t="str">
        <f>"4170065606                    "</f>
        <v xml:space="preserve">4170065606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22.36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70.959999999999994</v>
      </c>
      <c r="BM2606">
        <v>10.64</v>
      </c>
      <c r="BN2606">
        <v>81.599999999999994</v>
      </c>
      <c r="BO2606">
        <v>81.599999999999994</v>
      </c>
      <c r="BQ2606" t="s">
        <v>3139</v>
      </c>
      <c r="BR2606" t="s">
        <v>97</v>
      </c>
      <c r="BS2606" s="3">
        <v>45953</v>
      </c>
      <c r="BT2606" s="4">
        <v>0.34027777777777779</v>
      </c>
      <c r="BU2606" t="s">
        <v>723</v>
      </c>
      <c r="BV2606" t="s">
        <v>86</v>
      </c>
      <c r="BY2606">
        <v>1200</v>
      </c>
      <c r="CA2606" t="s">
        <v>818</v>
      </c>
      <c r="CC2606" t="s">
        <v>266</v>
      </c>
      <c r="CD2606">
        <v>6229</v>
      </c>
      <c r="CE2606" t="s">
        <v>147</v>
      </c>
      <c r="CF2606" s="3">
        <v>45953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"080068678573"</f>
        <v>080068678573</v>
      </c>
      <c r="F2607" s="3">
        <v>45952</v>
      </c>
      <c r="G2607">
        <v>202607</v>
      </c>
      <c r="H2607" t="s">
        <v>79</v>
      </c>
      <c r="I2607" t="s">
        <v>80</v>
      </c>
      <c r="J2607" t="s">
        <v>91</v>
      </c>
      <c r="K2607" t="s">
        <v>78</v>
      </c>
      <c r="L2607" t="s">
        <v>453</v>
      </c>
      <c r="M2607" t="s">
        <v>454</v>
      </c>
      <c r="N2607" t="s">
        <v>665</v>
      </c>
      <c r="O2607" t="s">
        <v>82</v>
      </c>
      <c r="P2607" t="str">
        <f>"4170065385                    "</f>
        <v xml:space="preserve">4170065385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39.11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3.4</v>
      </c>
      <c r="BK2607">
        <v>3.5</v>
      </c>
      <c r="BL2607">
        <v>124.13</v>
      </c>
      <c r="BM2607">
        <v>18.62</v>
      </c>
      <c r="BN2607">
        <v>142.75</v>
      </c>
      <c r="BO2607">
        <v>142.75</v>
      </c>
      <c r="BQ2607" t="s">
        <v>666</v>
      </c>
      <c r="BR2607" t="s">
        <v>97</v>
      </c>
      <c r="BS2607" s="3">
        <v>45953</v>
      </c>
      <c r="BT2607" s="4">
        <v>0.44027777777777777</v>
      </c>
      <c r="BU2607" t="s">
        <v>3105</v>
      </c>
      <c r="BV2607" t="s">
        <v>86</v>
      </c>
      <c r="BY2607">
        <v>16965</v>
      </c>
      <c r="CA2607" t="s">
        <v>742</v>
      </c>
      <c r="CC2607" t="s">
        <v>454</v>
      </c>
      <c r="CD2607">
        <v>3610</v>
      </c>
      <c r="CE2607" t="s">
        <v>191</v>
      </c>
      <c r="CF2607" s="3">
        <v>45953</v>
      </c>
      <c r="CI2607">
        <v>1</v>
      </c>
      <c r="CJ2607">
        <v>1</v>
      </c>
      <c r="CK2607">
        <v>21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"080068678598"</f>
        <v>080068678598</v>
      </c>
      <c r="F2608" s="3">
        <v>45952</v>
      </c>
      <c r="G2608">
        <v>202607</v>
      </c>
      <c r="H2608" t="s">
        <v>79</v>
      </c>
      <c r="I2608" t="s">
        <v>80</v>
      </c>
      <c r="J2608" t="s">
        <v>91</v>
      </c>
      <c r="K2608" t="s">
        <v>78</v>
      </c>
      <c r="L2608" t="s">
        <v>1448</v>
      </c>
      <c r="M2608" t="s">
        <v>1449</v>
      </c>
      <c r="N2608" t="s">
        <v>2079</v>
      </c>
      <c r="O2608" t="s">
        <v>82</v>
      </c>
      <c r="P2608" t="str">
        <f>"4170065560                    "</f>
        <v xml:space="preserve">4170065560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43.31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137.47</v>
      </c>
      <c r="BM2608">
        <v>20.62</v>
      </c>
      <c r="BN2608">
        <v>158.09</v>
      </c>
      <c r="BO2608">
        <v>158.09</v>
      </c>
      <c r="BQ2608" t="s">
        <v>2080</v>
      </c>
      <c r="BR2608" t="s">
        <v>97</v>
      </c>
      <c r="BS2608" s="3">
        <v>45953</v>
      </c>
      <c r="BT2608" s="4">
        <v>0.56319444444444444</v>
      </c>
      <c r="BU2608" t="s">
        <v>3140</v>
      </c>
      <c r="BV2608" t="s">
        <v>86</v>
      </c>
      <c r="BY2608">
        <v>1200</v>
      </c>
      <c r="CA2608" t="s">
        <v>1453</v>
      </c>
      <c r="CC2608" t="s">
        <v>1449</v>
      </c>
      <c r="CD2608" s="5" t="s">
        <v>1454</v>
      </c>
      <c r="CE2608" t="s">
        <v>147</v>
      </c>
      <c r="CF2608" s="3">
        <v>45954</v>
      </c>
      <c r="CI2608">
        <v>2</v>
      </c>
      <c r="CJ2608">
        <v>1</v>
      </c>
      <c r="CK2608">
        <v>23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"080068678605"</f>
        <v>080068678605</v>
      </c>
      <c r="F2609" s="3">
        <v>45952</v>
      </c>
      <c r="G2609">
        <v>202607</v>
      </c>
      <c r="H2609" t="s">
        <v>79</v>
      </c>
      <c r="I2609" t="s">
        <v>80</v>
      </c>
      <c r="J2609" t="s">
        <v>91</v>
      </c>
      <c r="K2609" t="s">
        <v>78</v>
      </c>
      <c r="L2609" t="s">
        <v>79</v>
      </c>
      <c r="M2609" t="s">
        <v>80</v>
      </c>
      <c r="N2609" t="s">
        <v>577</v>
      </c>
      <c r="O2609" t="s">
        <v>226</v>
      </c>
      <c r="P2609" t="str">
        <f>"4170065393                    "</f>
        <v xml:space="preserve">4170065393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17.47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4</v>
      </c>
      <c r="BJ2609">
        <v>1.9</v>
      </c>
      <c r="BK2609">
        <v>4</v>
      </c>
      <c r="BL2609">
        <v>55.44</v>
      </c>
      <c r="BM2609">
        <v>8.32</v>
      </c>
      <c r="BN2609">
        <v>63.76</v>
      </c>
      <c r="BO2609">
        <v>63.76</v>
      </c>
      <c r="BQ2609" t="s">
        <v>578</v>
      </c>
      <c r="BR2609" t="s">
        <v>97</v>
      </c>
      <c r="BS2609" s="3">
        <v>45953</v>
      </c>
      <c r="BT2609" s="4">
        <v>0.37847222222222221</v>
      </c>
      <c r="BU2609" t="s">
        <v>1536</v>
      </c>
      <c r="BV2609" t="s">
        <v>86</v>
      </c>
      <c r="BY2609">
        <v>9600</v>
      </c>
      <c r="CA2609" t="s">
        <v>580</v>
      </c>
      <c r="CC2609" t="s">
        <v>80</v>
      </c>
      <c r="CD2609">
        <v>1619</v>
      </c>
      <c r="CE2609" t="s">
        <v>191</v>
      </c>
      <c r="CF2609" s="3">
        <v>45954</v>
      </c>
      <c r="CI2609">
        <v>1</v>
      </c>
      <c r="CJ2609">
        <v>1</v>
      </c>
      <c r="CK2609">
        <v>32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"080068678622"</f>
        <v>080068678622</v>
      </c>
      <c r="F2610" s="3">
        <v>45952</v>
      </c>
      <c r="G2610">
        <v>202607</v>
      </c>
      <c r="H2610" t="s">
        <v>79</v>
      </c>
      <c r="I2610" t="s">
        <v>80</v>
      </c>
      <c r="J2610" t="s">
        <v>91</v>
      </c>
      <c r="K2610" t="s">
        <v>78</v>
      </c>
      <c r="L2610" t="s">
        <v>121</v>
      </c>
      <c r="M2610" t="s">
        <v>122</v>
      </c>
      <c r="N2610" t="s">
        <v>123</v>
      </c>
      <c r="O2610" t="s">
        <v>82</v>
      </c>
      <c r="P2610" t="str">
        <f>"4170065480                    "</f>
        <v xml:space="preserve">4170065480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22.36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70.959999999999994</v>
      </c>
      <c r="BM2610">
        <v>10.64</v>
      </c>
      <c r="BN2610">
        <v>81.599999999999994</v>
      </c>
      <c r="BO2610">
        <v>81.599999999999994</v>
      </c>
      <c r="BQ2610" t="s">
        <v>124</v>
      </c>
      <c r="BR2610" t="s">
        <v>97</v>
      </c>
      <c r="BS2610" s="3">
        <v>45953</v>
      </c>
      <c r="BT2610" s="4">
        <v>0.33680555555555558</v>
      </c>
      <c r="BU2610" t="s">
        <v>125</v>
      </c>
      <c r="BV2610" t="s">
        <v>86</v>
      </c>
      <c r="BY2610">
        <v>1200</v>
      </c>
      <c r="CA2610" t="s">
        <v>126</v>
      </c>
      <c r="CC2610" t="s">
        <v>122</v>
      </c>
      <c r="CD2610">
        <v>4000</v>
      </c>
      <c r="CE2610" t="s">
        <v>147</v>
      </c>
      <c r="CF2610" s="3">
        <v>45953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"080068678642"</f>
        <v>080068678642</v>
      </c>
      <c r="F2611" s="3">
        <v>45952</v>
      </c>
      <c r="G2611">
        <v>202607</v>
      </c>
      <c r="H2611" t="s">
        <v>79</v>
      </c>
      <c r="I2611" t="s">
        <v>80</v>
      </c>
      <c r="J2611" t="s">
        <v>91</v>
      </c>
      <c r="K2611" t="s">
        <v>78</v>
      </c>
      <c r="L2611" t="s">
        <v>206</v>
      </c>
      <c r="M2611" t="s">
        <v>207</v>
      </c>
      <c r="N2611" t="s">
        <v>208</v>
      </c>
      <c r="O2611" t="s">
        <v>82</v>
      </c>
      <c r="P2611" t="str">
        <f>"4170065395                    "</f>
        <v xml:space="preserve">4170065395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44.69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</v>
      </c>
      <c r="BJ2611">
        <v>3.8</v>
      </c>
      <c r="BK2611">
        <v>4</v>
      </c>
      <c r="BL2611">
        <v>141.85</v>
      </c>
      <c r="BM2611">
        <v>21.28</v>
      </c>
      <c r="BN2611">
        <v>163.13</v>
      </c>
      <c r="BO2611">
        <v>163.13</v>
      </c>
      <c r="BQ2611" t="s">
        <v>209</v>
      </c>
      <c r="BR2611" t="s">
        <v>97</v>
      </c>
      <c r="BS2611" s="3">
        <v>45953</v>
      </c>
      <c r="BT2611" s="4">
        <v>0.37777777777777777</v>
      </c>
      <c r="BU2611" t="s">
        <v>1732</v>
      </c>
      <c r="BV2611" t="s">
        <v>86</v>
      </c>
      <c r="BY2611">
        <v>19152</v>
      </c>
      <c r="CA2611" t="s">
        <v>211</v>
      </c>
      <c r="CC2611" t="s">
        <v>207</v>
      </c>
      <c r="CD2611">
        <v>7441</v>
      </c>
      <c r="CE2611" t="s">
        <v>107</v>
      </c>
      <c r="CF2611" s="3">
        <v>45954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"080068678693"</f>
        <v>080068678693</v>
      </c>
      <c r="F2612" s="3">
        <v>45952</v>
      </c>
      <c r="G2612">
        <v>202607</v>
      </c>
      <c r="H2612" t="s">
        <v>79</v>
      </c>
      <c r="I2612" t="s">
        <v>80</v>
      </c>
      <c r="J2612" t="s">
        <v>91</v>
      </c>
      <c r="K2612" t="s">
        <v>78</v>
      </c>
      <c r="L2612" t="s">
        <v>206</v>
      </c>
      <c r="M2612" t="s">
        <v>207</v>
      </c>
      <c r="N2612" t="s">
        <v>556</v>
      </c>
      <c r="O2612" t="s">
        <v>82</v>
      </c>
      <c r="P2612" t="str">
        <f>"4170065407                    "</f>
        <v xml:space="preserve">4170065407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55.86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5</v>
      </c>
      <c r="BJ2612">
        <v>3.4</v>
      </c>
      <c r="BK2612">
        <v>5</v>
      </c>
      <c r="BL2612">
        <v>177.3</v>
      </c>
      <c r="BM2612">
        <v>26.6</v>
      </c>
      <c r="BN2612">
        <v>203.9</v>
      </c>
      <c r="BO2612">
        <v>203.9</v>
      </c>
      <c r="BQ2612" t="s">
        <v>557</v>
      </c>
      <c r="BR2612" t="s">
        <v>97</v>
      </c>
      <c r="BS2612" s="3">
        <v>45953</v>
      </c>
      <c r="BT2612" s="4">
        <v>0.37847222222222221</v>
      </c>
      <c r="BU2612" t="s">
        <v>3141</v>
      </c>
      <c r="BV2612" t="s">
        <v>86</v>
      </c>
      <c r="BY2612">
        <v>16965</v>
      </c>
      <c r="CA2612" t="s">
        <v>569</v>
      </c>
      <c r="CC2612" t="s">
        <v>207</v>
      </c>
      <c r="CD2612">
        <v>7945</v>
      </c>
      <c r="CE2612" t="s">
        <v>191</v>
      </c>
      <c r="CF2612" s="3">
        <v>45954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"080068678723"</f>
        <v>080068678723</v>
      </c>
      <c r="F2613" s="3">
        <v>45952</v>
      </c>
      <c r="G2613">
        <v>202607</v>
      </c>
      <c r="H2613" t="s">
        <v>79</v>
      </c>
      <c r="I2613" t="s">
        <v>80</v>
      </c>
      <c r="J2613" t="s">
        <v>91</v>
      </c>
      <c r="K2613" t="s">
        <v>78</v>
      </c>
      <c r="L2613" t="s">
        <v>306</v>
      </c>
      <c r="M2613" t="s">
        <v>307</v>
      </c>
      <c r="N2613" t="s">
        <v>335</v>
      </c>
      <c r="O2613" t="s">
        <v>82</v>
      </c>
      <c r="P2613" t="str">
        <f>"4170065597                    "</f>
        <v xml:space="preserve">4170065597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67.03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5</v>
      </c>
      <c r="BJ2613">
        <v>5.8</v>
      </c>
      <c r="BK2613">
        <v>6</v>
      </c>
      <c r="BL2613">
        <v>212.75</v>
      </c>
      <c r="BM2613">
        <v>31.91</v>
      </c>
      <c r="BN2613">
        <v>244.66</v>
      </c>
      <c r="BO2613">
        <v>244.66</v>
      </c>
      <c r="BQ2613" t="s">
        <v>475</v>
      </c>
      <c r="BR2613" t="s">
        <v>97</v>
      </c>
      <c r="BS2613" s="3">
        <v>45953</v>
      </c>
      <c r="BT2613" s="4">
        <v>0.38958333333333334</v>
      </c>
      <c r="BU2613" t="s">
        <v>3142</v>
      </c>
      <c r="BV2613" t="s">
        <v>86</v>
      </c>
      <c r="BY2613">
        <v>28875</v>
      </c>
      <c r="CA2613" t="s">
        <v>3086</v>
      </c>
      <c r="CC2613" t="s">
        <v>307</v>
      </c>
      <c r="CD2613">
        <v>4133</v>
      </c>
      <c r="CE2613" t="s">
        <v>107</v>
      </c>
      <c r="CF2613" s="3">
        <v>45953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"080068678847"</f>
        <v>080068678847</v>
      </c>
      <c r="F2614" s="3">
        <v>45952</v>
      </c>
      <c r="G2614">
        <v>202607</v>
      </c>
      <c r="H2614" t="s">
        <v>79</v>
      </c>
      <c r="I2614" t="s">
        <v>80</v>
      </c>
      <c r="J2614" t="s">
        <v>91</v>
      </c>
      <c r="K2614" t="s">
        <v>78</v>
      </c>
      <c r="L2614" t="s">
        <v>108</v>
      </c>
      <c r="M2614" t="s">
        <v>109</v>
      </c>
      <c r="N2614" t="s">
        <v>365</v>
      </c>
      <c r="O2614" t="s">
        <v>82</v>
      </c>
      <c r="P2614" t="str">
        <f>"4170065364                    "</f>
        <v xml:space="preserve">4170065364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55.86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5</v>
      </c>
      <c r="BJ2614">
        <v>1.8</v>
      </c>
      <c r="BK2614">
        <v>5</v>
      </c>
      <c r="BL2614">
        <v>177.3</v>
      </c>
      <c r="BM2614">
        <v>26.6</v>
      </c>
      <c r="BN2614">
        <v>203.9</v>
      </c>
      <c r="BO2614">
        <v>203.9</v>
      </c>
      <c r="BQ2614" t="s">
        <v>366</v>
      </c>
      <c r="BR2614" t="s">
        <v>97</v>
      </c>
      <c r="BS2614" s="3">
        <v>45953</v>
      </c>
      <c r="BT2614" s="4">
        <v>0.41805555555555557</v>
      </c>
      <c r="BU2614" t="s">
        <v>1992</v>
      </c>
      <c r="BV2614" t="s">
        <v>86</v>
      </c>
      <c r="BY2614">
        <v>8816</v>
      </c>
      <c r="CA2614" t="s">
        <v>1145</v>
      </c>
      <c r="CC2614" t="s">
        <v>109</v>
      </c>
      <c r="CD2614">
        <v>6056</v>
      </c>
      <c r="CE2614" t="s">
        <v>191</v>
      </c>
      <c r="CF2614" s="3">
        <v>45953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"080068678861"</f>
        <v>080068678861</v>
      </c>
      <c r="F2615" s="3">
        <v>45952</v>
      </c>
      <c r="G2615">
        <v>202607</v>
      </c>
      <c r="H2615" t="s">
        <v>79</v>
      </c>
      <c r="I2615" t="s">
        <v>80</v>
      </c>
      <c r="J2615" t="s">
        <v>91</v>
      </c>
      <c r="K2615" t="s">
        <v>78</v>
      </c>
      <c r="L2615" t="s">
        <v>763</v>
      </c>
      <c r="M2615" t="s">
        <v>764</v>
      </c>
      <c r="N2615" t="s">
        <v>765</v>
      </c>
      <c r="O2615" t="s">
        <v>95</v>
      </c>
      <c r="P2615" t="str">
        <f>"4170065496                    "</f>
        <v xml:space="preserve">4170065496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67.2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17</v>
      </c>
      <c r="BJ2615">
        <v>16.3</v>
      </c>
      <c r="BK2615">
        <v>17</v>
      </c>
      <c r="BL2615">
        <v>219.16</v>
      </c>
      <c r="BM2615">
        <v>32.869999999999997</v>
      </c>
      <c r="BN2615">
        <v>252.03</v>
      </c>
      <c r="BO2615">
        <v>252.03</v>
      </c>
      <c r="BQ2615" t="s">
        <v>766</v>
      </c>
      <c r="BR2615" t="s">
        <v>97</v>
      </c>
      <c r="BS2615" s="3">
        <v>45953</v>
      </c>
      <c r="BT2615" s="4">
        <v>0.45347222222222222</v>
      </c>
      <c r="BU2615" t="s">
        <v>3143</v>
      </c>
      <c r="BV2615" t="s">
        <v>86</v>
      </c>
      <c r="BY2615">
        <v>81675</v>
      </c>
      <c r="CA2615" t="s">
        <v>2829</v>
      </c>
      <c r="CC2615" t="s">
        <v>764</v>
      </c>
      <c r="CD2615">
        <v>2531</v>
      </c>
      <c r="CE2615" t="s">
        <v>1262</v>
      </c>
      <c r="CF2615" s="3">
        <v>45954</v>
      </c>
      <c r="CI2615">
        <v>1</v>
      </c>
      <c r="CJ2615">
        <v>1</v>
      </c>
      <c r="CK2615">
        <v>43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"080068678875"</f>
        <v>080068678875</v>
      </c>
      <c r="F2616" s="3">
        <v>45952</v>
      </c>
      <c r="G2616">
        <v>202607</v>
      </c>
      <c r="H2616" t="s">
        <v>79</v>
      </c>
      <c r="I2616" t="s">
        <v>80</v>
      </c>
      <c r="J2616" t="s">
        <v>91</v>
      </c>
      <c r="K2616" t="s">
        <v>78</v>
      </c>
      <c r="L2616" t="s">
        <v>114</v>
      </c>
      <c r="M2616" t="s">
        <v>115</v>
      </c>
      <c r="N2616" t="s">
        <v>1014</v>
      </c>
      <c r="O2616" t="s">
        <v>82</v>
      </c>
      <c r="P2616" t="str">
        <f>"4170065371                    "</f>
        <v xml:space="preserve">4170065371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22.36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1.1000000000000001</v>
      </c>
      <c r="BK2616">
        <v>1.5</v>
      </c>
      <c r="BL2616">
        <v>70.959999999999994</v>
      </c>
      <c r="BM2616">
        <v>10.64</v>
      </c>
      <c r="BN2616">
        <v>81.599999999999994</v>
      </c>
      <c r="BO2616">
        <v>81.599999999999994</v>
      </c>
      <c r="BQ2616" t="s">
        <v>1015</v>
      </c>
      <c r="BR2616" t="s">
        <v>97</v>
      </c>
      <c r="BS2616" s="3">
        <v>45953</v>
      </c>
      <c r="BT2616" s="4">
        <v>0.4861111111111111</v>
      </c>
      <c r="BU2616" t="s">
        <v>3012</v>
      </c>
      <c r="BV2616" t="s">
        <v>90</v>
      </c>
      <c r="BY2616">
        <v>5510</v>
      </c>
      <c r="CA2616" t="s">
        <v>1017</v>
      </c>
      <c r="CC2616" t="s">
        <v>115</v>
      </c>
      <c r="CD2616">
        <v>5200</v>
      </c>
      <c r="CE2616" t="s">
        <v>191</v>
      </c>
      <c r="CF2616" s="3">
        <v>45954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"080068678902"</f>
        <v>080068678902</v>
      </c>
      <c r="F2617" s="3">
        <v>45952</v>
      </c>
      <c r="G2617">
        <v>202607</v>
      </c>
      <c r="H2617" t="s">
        <v>79</v>
      </c>
      <c r="I2617" t="s">
        <v>80</v>
      </c>
      <c r="J2617" t="s">
        <v>91</v>
      </c>
      <c r="K2617" t="s">
        <v>78</v>
      </c>
      <c r="L2617" t="s">
        <v>168</v>
      </c>
      <c r="M2617" t="s">
        <v>169</v>
      </c>
      <c r="N2617" t="s">
        <v>339</v>
      </c>
      <c r="O2617" t="s">
        <v>82</v>
      </c>
      <c r="P2617" t="str">
        <f>"4170065359                    "</f>
        <v xml:space="preserve">4170065359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22.36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0.9</v>
      </c>
      <c r="BK2617">
        <v>2</v>
      </c>
      <c r="BL2617">
        <v>70.959999999999994</v>
      </c>
      <c r="BM2617">
        <v>10.64</v>
      </c>
      <c r="BN2617">
        <v>81.599999999999994</v>
      </c>
      <c r="BO2617">
        <v>81.599999999999994</v>
      </c>
      <c r="BQ2617" t="s">
        <v>340</v>
      </c>
      <c r="BR2617" t="s">
        <v>97</v>
      </c>
      <c r="BS2617" s="3">
        <v>45953</v>
      </c>
      <c r="BT2617" s="4">
        <v>0.41666666666666669</v>
      </c>
      <c r="BU2617" t="s">
        <v>341</v>
      </c>
      <c r="BV2617" t="s">
        <v>86</v>
      </c>
      <c r="BY2617">
        <v>4275</v>
      </c>
      <c r="CC2617" t="s">
        <v>169</v>
      </c>
      <c r="CD2617" s="5" t="s">
        <v>190</v>
      </c>
      <c r="CE2617" t="s">
        <v>191</v>
      </c>
      <c r="CF2617" s="3">
        <v>45953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"080068678941"</f>
        <v>080068678941</v>
      </c>
      <c r="F2618" s="3">
        <v>45952</v>
      </c>
      <c r="G2618">
        <v>202607</v>
      </c>
      <c r="H2618" t="s">
        <v>79</v>
      </c>
      <c r="I2618" t="s">
        <v>80</v>
      </c>
      <c r="J2618" t="s">
        <v>91</v>
      </c>
      <c r="K2618" t="s">
        <v>78</v>
      </c>
      <c r="L2618" t="s">
        <v>884</v>
      </c>
      <c r="M2618" t="s">
        <v>885</v>
      </c>
      <c r="N2618" t="s">
        <v>886</v>
      </c>
      <c r="O2618" t="s">
        <v>82</v>
      </c>
      <c r="P2618" t="str">
        <f>"4170065599                    "</f>
        <v xml:space="preserve">4170065599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141.11000000000001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4</v>
      </c>
      <c r="BJ2618">
        <v>6.6</v>
      </c>
      <c r="BK2618">
        <v>7</v>
      </c>
      <c r="BL2618">
        <v>447.87</v>
      </c>
      <c r="BM2618">
        <v>67.180000000000007</v>
      </c>
      <c r="BN2618">
        <v>515.04999999999995</v>
      </c>
      <c r="BO2618">
        <v>515.04999999999995</v>
      </c>
      <c r="BQ2618" t="s">
        <v>887</v>
      </c>
      <c r="BR2618" t="s">
        <v>97</v>
      </c>
      <c r="BS2618" s="3">
        <v>45953</v>
      </c>
      <c r="BT2618" s="4">
        <v>0.30208333333333331</v>
      </c>
      <c r="BU2618" t="s">
        <v>888</v>
      </c>
      <c r="BV2618" t="s">
        <v>86</v>
      </c>
      <c r="BY2618">
        <v>33075</v>
      </c>
      <c r="CC2618" t="s">
        <v>885</v>
      </c>
      <c r="CD2618">
        <v>2740</v>
      </c>
      <c r="CE2618" t="s">
        <v>107</v>
      </c>
      <c r="CF2618" s="3">
        <v>45954</v>
      </c>
      <c r="CI2618">
        <v>1</v>
      </c>
      <c r="CJ2618">
        <v>1</v>
      </c>
      <c r="CK2618">
        <v>23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"080068678959"</f>
        <v>080068678959</v>
      </c>
      <c r="F2619" s="3">
        <v>45952</v>
      </c>
      <c r="G2619">
        <v>202607</v>
      </c>
      <c r="H2619" t="s">
        <v>79</v>
      </c>
      <c r="I2619" t="s">
        <v>80</v>
      </c>
      <c r="J2619" t="s">
        <v>91</v>
      </c>
      <c r="K2619" t="s">
        <v>78</v>
      </c>
      <c r="L2619" t="s">
        <v>453</v>
      </c>
      <c r="M2619" t="s">
        <v>454</v>
      </c>
      <c r="N2619" t="s">
        <v>665</v>
      </c>
      <c r="O2619" t="s">
        <v>82</v>
      </c>
      <c r="P2619" t="str">
        <f>"4170065416                    "</f>
        <v xml:space="preserve">4170065416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50.28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4.0999999999999996</v>
      </c>
      <c r="BK2619">
        <v>4.5</v>
      </c>
      <c r="BL2619">
        <v>159.58000000000001</v>
      </c>
      <c r="BM2619">
        <v>23.94</v>
      </c>
      <c r="BN2619">
        <v>183.52</v>
      </c>
      <c r="BO2619">
        <v>183.52</v>
      </c>
      <c r="BQ2619" t="s">
        <v>666</v>
      </c>
      <c r="BR2619" t="s">
        <v>97</v>
      </c>
      <c r="BS2619" s="3">
        <v>45953</v>
      </c>
      <c r="BT2619" s="4">
        <v>0.44027777777777777</v>
      </c>
      <c r="BU2619" t="s">
        <v>3105</v>
      </c>
      <c r="BV2619" t="s">
        <v>86</v>
      </c>
      <c r="BY2619">
        <v>20358</v>
      </c>
      <c r="CA2619" t="s">
        <v>742</v>
      </c>
      <c r="CC2619" t="s">
        <v>454</v>
      </c>
      <c r="CD2619">
        <v>3610</v>
      </c>
      <c r="CE2619" t="s">
        <v>191</v>
      </c>
      <c r="CF2619" s="3">
        <v>45953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"080068678986"</f>
        <v>080068678986</v>
      </c>
      <c r="F2620" s="3">
        <v>45952</v>
      </c>
      <c r="G2620">
        <v>202607</v>
      </c>
      <c r="H2620" t="s">
        <v>79</v>
      </c>
      <c r="I2620" t="s">
        <v>80</v>
      </c>
      <c r="J2620" t="s">
        <v>91</v>
      </c>
      <c r="K2620" t="s">
        <v>78</v>
      </c>
      <c r="L2620" t="s">
        <v>453</v>
      </c>
      <c r="M2620" t="s">
        <v>454</v>
      </c>
      <c r="N2620" t="s">
        <v>639</v>
      </c>
      <c r="O2620" t="s">
        <v>82</v>
      </c>
      <c r="P2620" t="str">
        <f>"4170065394                    "</f>
        <v xml:space="preserve">4170065394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22.36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70.959999999999994</v>
      </c>
      <c r="BM2620">
        <v>10.64</v>
      </c>
      <c r="BN2620">
        <v>81.599999999999994</v>
      </c>
      <c r="BO2620">
        <v>81.599999999999994</v>
      </c>
      <c r="BQ2620" t="s">
        <v>640</v>
      </c>
      <c r="BR2620" t="s">
        <v>97</v>
      </c>
      <c r="BS2620" s="3">
        <v>45953</v>
      </c>
      <c r="BT2620" s="4">
        <v>0.44791666666666669</v>
      </c>
      <c r="BU2620" t="s">
        <v>641</v>
      </c>
      <c r="BV2620" t="s">
        <v>86</v>
      </c>
      <c r="BY2620">
        <v>1200</v>
      </c>
      <c r="CA2620" t="s">
        <v>457</v>
      </c>
      <c r="CC2620" t="s">
        <v>454</v>
      </c>
      <c r="CD2620">
        <v>3610</v>
      </c>
      <c r="CE2620" t="s">
        <v>147</v>
      </c>
      <c r="CF2620" s="3">
        <v>45953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"080068679007"</f>
        <v>080068679007</v>
      </c>
      <c r="F2621" s="3">
        <v>45952</v>
      </c>
      <c r="G2621">
        <v>202607</v>
      </c>
      <c r="H2621" t="s">
        <v>79</v>
      </c>
      <c r="I2621" t="s">
        <v>80</v>
      </c>
      <c r="J2621" t="s">
        <v>91</v>
      </c>
      <c r="K2621" t="s">
        <v>78</v>
      </c>
      <c r="L2621" t="s">
        <v>300</v>
      </c>
      <c r="M2621" t="s">
        <v>301</v>
      </c>
      <c r="N2621" t="s">
        <v>523</v>
      </c>
      <c r="O2621" t="s">
        <v>82</v>
      </c>
      <c r="P2621" t="str">
        <f>"4170065417                    "</f>
        <v xml:space="preserve">4170065417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31.44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99.79</v>
      </c>
      <c r="BM2621">
        <v>14.97</v>
      </c>
      <c r="BN2621">
        <v>114.76</v>
      </c>
      <c r="BO2621">
        <v>114.76</v>
      </c>
      <c r="BQ2621" t="s">
        <v>524</v>
      </c>
      <c r="BR2621" t="s">
        <v>97</v>
      </c>
      <c r="BS2621" s="3">
        <v>45953</v>
      </c>
      <c r="BT2621" s="4">
        <v>0.42708333333333331</v>
      </c>
      <c r="BU2621" t="s">
        <v>2268</v>
      </c>
      <c r="BV2621" t="s">
        <v>86</v>
      </c>
      <c r="BY2621">
        <v>1200</v>
      </c>
      <c r="CC2621" t="s">
        <v>301</v>
      </c>
      <c r="CD2621">
        <v>1748</v>
      </c>
      <c r="CE2621" t="s">
        <v>147</v>
      </c>
      <c r="CF2621" s="3">
        <v>45954</v>
      </c>
      <c r="CI2621">
        <v>1</v>
      </c>
      <c r="CJ2621">
        <v>1</v>
      </c>
      <c r="CK2621">
        <v>24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"080068679034"</f>
        <v>080068679034</v>
      </c>
      <c r="F2622" s="3">
        <v>45952</v>
      </c>
      <c r="G2622">
        <v>202607</v>
      </c>
      <c r="H2622" t="s">
        <v>79</v>
      </c>
      <c r="I2622" t="s">
        <v>80</v>
      </c>
      <c r="J2622" t="s">
        <v>91</v>
      </c>
      <c r="K2622" t="s">
        <v>78</v>
      </c>
      <c r="L2622" t="s">
        <v>265</v>
      </c>
      <c r="M2622" t="s">
        <v>266</v>
      </c>
      <c r="N2622" t="s">
        <v>587</v>
      </c>
      <c r="O2622" t="s">
        <v>82</v>
      </c>
      <c r="P2622" t="str">
        <f>"4170065363                    "</f>
        <v xml:space="preserve">4170065363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22.36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70.959999999999994</v>
      </c>
      <c r="BM2622">
        <v>10.64</v>
      </c>
      <c r="BN2622">
        <v>81.599999999999994</v>
      </c>
      <c r="BO2622">
        <v>81.599999999999994</v>
      </c>
      <c r="BQ2622" t="s">
        <v>588</v>
      </c>
      <c r="BR2622" t="s">
        <v>97</v>
      </c>
      <c r="BS2622" s="3">
        <v>45954</v>
      </c>
      <c r="BT2622" s="4">
        <v>0.3888888888888889</v>
      </c>
      <c r="BU2622" t="s">
        <v>3144</v>
      </c>
      <c r="BV2622" t="s">
        <v>90</v>
      </c>
      <c r="BY2622">
        <v>1200</v>
      </c>
      <c r="CC2622" t="s">
        <v>266</v>
      </c>
      <c r="CD2622">
        <v>6229</v>
      </c>
      <c r="CE2622" t="s">
        <v>147</v>
      </c>
      <c r="CF2622" s="3">
        <v>45954</v>
      </c>
      <c r="CI2622">
        <v>1</v>
      </c>
      <c r="CJ2622">
        <v>2</v>
      </c>
      <c r="CK2622">
        <v>21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"080068679055"</f>
        <v>080068679055</v>
      </c>
      <c r="F2623" s="3">
        <v>45952</v>
      </c>
      <c r="G2623">
        <v>202607</v>
      </c>
      <c r="H2623" t="s">
        <v>79</v>
      </c>
      <c r="I2623" t="s">
        <v>80</v>
      </c>
      <c r="J2623" t="s">
        <v>91</v>
      </c>
      <c r="K2623" t="s">
        <v>78</v>
      </c>
      <c r="L2623" t="s">
        <v>92</v>
      </c>
      <c r="M2623" t="s">
        <v>93</v>
      </c>
      <c r="N2623" t="s">
        <v>597</v>
      </c>
      <c r="O2623" t="s">
        <v>82</v>
      </c>
      <c r="P2623" t="str">
        <f>"4170065347                    "</f>
        <v xml:space="preserve">4170065347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22.36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70.959999999999994</v>
      </c>
      <c r="BM2623">
        <v>10.64</v>
      </c>
      <c r="BN2623">
        <v>81.599999999999994</v>
      </c>
      <c r="BO2623">
        <v>81.599999999999994</v>
      </c>
      <c r="BQ2623" t="s">
        <v>598</v>
      </c>
      <c r="BR2623" t="s">
        <v>97</v>
      </c>
      <c r="BS2623" s="3">
        <v>45953</v>
      </c>
      <c r="BT2623" s="4">
        <v>0.41736111111111113</v>
      </c>
      <c r="BU2623" t="s">
        <v>599</v>
      </c>
      <c r="BV2623" t="s">
        <v>86</v>
      </c>
      <c r="BY2623">
        <v>1200</v>
      </c>
      <c r="CA2623" t="s">
        <v>600</v>
      </c>
      <c r="CC2623" t="s">
        <v>93</v>
      </c>
      <c r="CD2623">
        <v>3201</v>
      </c>
      <c r="CE2623" t="s">
        <v>147</v>
      </c>
      <c r="CF2623" s="3">
        <v>45954</v>
      </c>
      <c r="CI2623">
        <v>1</v>
      </c>
      <c r="CJ2623">
        <v>1</v>
      </c>
      <c r="CK2623">
        <v>21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"080068679079"</f>
        <v>080068679079</v>
      </c>
      <c r="F2624" s="3">
        <v>45952</v>
      </c>
      <c r="G2624">
        <v>202607</v>
      </c>
      <c r="H2624" t="s">
        <v>79</v>
      </c>
      <c r="I2624" t="s">
        <v>80</v>
      </c>
      <c r="J2624" t="s">
        <v>91</v>
      </c>
      <c r="K2624" t="s">
        <v>78</v>
      </c>
      <c r="L2624" t="s">
        <v>148</v>
      </c>
      <c r="M2624" t="s">
        <v>149</v>
      </c>
      <c r="N2624" t="s">
        <v>465</v>
      </c>
      <c r="O2624" t="s">
        <v>82</v>
      </c>
      <c r="P2624" t="str">
        <f>"4170065382                    "</f>
        <v xml:space="preserve">4170065382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17.46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55.42</v>
      </c>
      <c r="BM2624">
        <v>8.31</v>
      </c>
      <c r="BN2624">
        <v>63.73</v>
      </c>
      <c r="BO2624">
        <v>63.73</v>
      </c>
      <c r="BQ2624" t="s">
        <v>466</v>
      </c>
      <c r="BR2624" t="s">
        <v>97</v>
      </c>
      <c r="BS2624" s="3">
        <v>45953</v>
      </c>
      <c r="BT2624" s="4">
        <v>0.41666666666666669</v>
      </c>
      <c r="BU2624" t="s">
        <v>1658</v>
      </c>
      <c r="BV2624" t="s">
        <v>86</v>
      </c>
      <c r="BY2624">
        <v>1200</v>
      </c>
      <c r="CA2624" t="s">
        <v>2853</v>
      </c>
      <c r="CC2624" t="s">
        <v>149</v>
      </c>
      <c r="CD2624">
        <v>2094</v>
      </c>
      <c r="CE2624" t="s">
        <v>147</v>
      </c>
      <c r="CF2624" s="3">
        <v>45954</v>
      </c>
      <c r="CI2624">
        <v>1</v>
      </c>
      <c r="CJ2624">
        <v>1</v>
      </c>
      <c r="CK2624">
        <v>22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"080068679102"</f>
        <v>080068679102</v>
      </c>
      <c r="F2625" s="3">
        <v>45952</v>
      </c>
      <c r="G2625">
        <v>202607</v>
      </c>
      <c r="H2625" t="s">
        <v>79</v>
      </c>
      <c r="I2625" t="s">
        <v>80</v>
      </c>
      <c r="J2625" t="s">
        <v>91</v>
      </c>
      <c r="K2625" t="s">
        <v>78</v>
      </c>
      <c r="L2625" t="s">
        <v>168</v>
      </c>
      <c r="M2625" t="s">
        <v>169</v>
      </c>
      <c r="N2625" t="s">
        <v>584</v>
      </c>
      <c r="O2625" t="s">
        <v>82</v>
      </c>
      <c r="P2625" t="str">
        <f>"4170065369                    "</f>
        <v xml:space="preserve">4170065369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22.36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70.959999999999994</v>
      </c>
      <c r="BM2625">
        <v>10.64</v>
      </c>
      <c r="BN2625">
        <v>81.599999999999994</v>
      </c>
      <c r="BO2625">
        <v>81.599999999999994</v>
      </c>
      <c r="BQ2625" t="s">
        <v>585</v>
      </c>
      <c r="BR2625" t="s">
        <v>97</v>
      </c>
      <c r="BS2625" s="3">
        <v>45953</v>
      </c>
      <c r="BT2625" s="4">
        <v>0.39305555555555555</v>
      </c>
      <c r="BU2625" t="s">
        <v>1159</v>
      </c>
      <c r="BV2625" t="s">
        <v>86</v>
      </c>
      <c r="BY2625">
        <v>1200</v>
      </c>
      <c r="CA2625">
        <v>8303236124087</v>
      </c>
      <c r="CC2625" t="s">
        <v>169</v>
      </c>
      <c r="CD2625" s="5" t="s">
        <v>190</v>
      </c>
      <c r="CE2625" t="s">
        <v>147</v>
      </c>
      <c r="CF2625" s="3">
        <v>45953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"009944060259"</f>
        <v>009944060259</v>
      </c>
      <c r="F2626" s="3">
        <v>45952</v>
      </c>
      <c r="G2626">
        <v>202607</v>
      </c>
      <c r="H2626" t="s">
        <v>206</v>
      </c>
      <c r="I2626" t="s">
        <v>207</v>
      </c>
      <c r="J2626" t="s">
        <v>1118</v>
      </c>
      <c r="K2626" t="s">
        <v>78</v>
      </c>
      <c r="L2626" t="s">
        <v>453</v>
      </c>
      <c r="M2626" t="s">
        <v>454</v>
      </c>
      <c r="N2626" t="s">
        <v>3145</v>
      </c>
      <c r="O2626" t="s">
        <v>226</v>
      </c>
      <c r="P2626" t="str">
        <f>"                              "</f>
        <v xml:space="preserve">          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356.28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15</v>
      </c>
      <c r="BJ2626">
        <v>16.600000000000001</v>
      </c>
      <c r="BK2626">
        <v>17</v>
      </c>
      <c r="BL2626">
        <v>1130.81</v>
      </c>
      <c r="BM2626">
        <v>169.62</v>
      </c>
      <c r="BN2626">
        <v>1300.43</v>
      </c>
      <c r="BO2626">
        <v>1300.43</v>
      </c>
      <c r="BP2626" t="s">
        <v>3146</v>
      </c>
      <c r="BQ2626" t="s">
        <v>3147</v>
      </c>
      <c r="BS2626" s="3">
        <v>45954</v>
      </c>
      <c r="BT2626" s="4">
        <v>0.3972222222222222</v>
      </c>
      <c r="BU2626" t="s">
        <v>320</v>
      </c>
      <c r="BV2626" t="s">
        <v>86</v>
      </c>
      <c r="BY2626">
        <v>82908</v>
      </c>
      <c r="BZ2626" t="s">
        <v>99</v>
      </c>
      <c r="CA2626" t="s">
        <v>321</v>
      </c>
      <c r="CC2626" t="s">
        <v>454</v>
      </c>
      <c r="CD2626">
        <v>4037</v>
      </c>
      <c r="CE2626" t="s">
        <v>89</v>
      </c>
      <c r="CF2626" s="3">
        <v>45954</v>
      </c>
      <c r="CI2626">
        <v>2</v>
      </c>
      <c r="CJ2626">
        <v>2</v>
      </c>
      <c r="CK2626">
        <v>31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"080068696368"</f>
        <v>080068696368</v>
      </c>
      <c r="F2627" s="3">
        <v>45953</v>
      </c>
      <c r="G2627">
        <v>202607</v>
      </c>
      <c r="H2627" t="s">
        <v>79</v>
      </c>
      <c r="I2627" t="s">
        <v>80</v>
      </c>
      <c r="J2627" t="s">
        <v>91</v>
      </c>
      <c r="K2627" t="s">
        <v>78</v>
      </c>
      <c r="L2627" t="s">
        <v>92</v>
      </c>
      <c r="M2627" t="s">
        <v>93</v>
      </c>
      <c r="N2627" t="s">
        <v>2047</v>
      </c>
      <c r="O2627" t="s">
        <v>82</v>
      </c>
      <c r="P2627" t="str">
        <f>"4170065795                    "</f>
        <v xml:space="preserve">4170065795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22.36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70.959999999999994</v>
      </c>
      <c r="BM2627">
        <v>10.64</v>
      </c>
      <c r="BN2627">
        <v>81.599999999999994</v>
      </c>
      <c r="BO2627">
        <v>81.599999999999994</v>
      </c>
      <c r="BQ2627" t="s">
        <v>2048</v>
      </c>
      <c r="BR2627" t="s">
        <v>97</v>
      </c>
      <c r="BS2627" s="3">
        <v>45954</v>
      </c>
      <c r="BT2627" s="4">
        <v>0.44444444444444442</v>
      </c>
      <c r="BU2627" t="s">
        <v>3148</v>
      </c>
      <c r="BV2627" t="s">
        <v>86</v>
      </c>
      <c r="BY2627">
        <v>1200</v>
      </c>
      <c r="CC2627" t="s">
        <v>93</v>
      </c>
      <c r="CD2627">
        <v>3212</v>
      </c>
      <c r="CE2627" t="s">
        <v>147</v>
      </c>
      <c r="CF2627" s="3">
        <v>45955</v>
      </c>
      <c r="CI2627">
        <v>2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"080068696425"</f>
        <v>080068696425</v>
      </c>
      <c r="F2628" s="3">
        <v>45953</v>
      </c>
      <c r="G2628">
        <v>202607</v>
      </c>
      <c r="H2628" t="s">
        <v>79</v>
      </c>
      <c r="I2628" t="s">
        <v>80</v>
      </c>
      <c r="J2628" t="s">
        <v>91</v>
      </c>
      <c r="K2628" t="s">
        <v>78</v>
      </c>
      <c r="L2628" t="s">
        <v>92</v>
      </c>
      <c r="M2628" t="s">
        <v>93</v>
      </c>
      <c r="N2628" t="s">
        <v>601</v>
      </c>
      <c r="O2628" t="s">
        <v>82</v>
      </c>
      <c r="P2628" t="str">
        <f>"4170065757                    "</f>
        <v xml:space="preserve">4170065757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22.36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70.959999999999994</v>
      </c>
      <c r="BM2628">
        <v>10.64</v>
      </c>
      <c r="BN2628">
        <v>81.599999999999994</v>
      </c>
      <c r="BO2628">
        <v>81.599999999999994</v>
      </c>
      <c r="BQ2628" t="s">
        <v>602</v>
      </c>
      <c r="BR2628" t="s">
        <v>97</v>
      </c>
      <c r="BS2628" s="3">
        <v>45954</v>
      </c>
      <c r="BT2628" s="4">
        <v>0.4513888888888889</v>
      </c>
      <c r="BU2628" t="s">
        <v>852</v>
      </c>
      <c r="BV2628" t="s">
        <v>86</v>
      </c>
      <c r="BY2628">
        <v>1200</v>
      </c>
      <c r="CC2628" t="s">
        <v>93</v>
      </c>
      <c r="CD2628">
        <v>3212</v>
      </c>
      <c r="CE2628" t="s">
        <v>147</v>
      </c>
      <c r="CF2628" s="3">
        <v>45955</v>
      </c>
      <c r="CI2628">
        <v>2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"080068692010"</f>
        <v>080068692010</v>
      </c>
      <c r="F2629" s="3">
        <v>45953</v>
      </c>
      <c r="G2629">
        <v>202607</v>
      </c>
      <c r="H2629" t="s">
        <v>79</v>
      </c>
      <c r="I2629" t="s">
        <v>80</v>
      </c>
      <c r="J2629" t="s">
        <v>91</v>
      </c>
      <c r="K2629" t="s">
        <v>78</v>
      </c>
      <c r="L2629" t="s">
        <v>79</v>
      </c>
      <c r="M2629" t="s">
        <v>80</v>
      </c>
      <c r="N2629" t="s">
        <v>3149</v>
      </c>
      <c r="O2629" t="s">
        <v>95</v>
      </c>
      <c r="P2629" t="str">
        <f>"4170065595                    "</f>
        <v xml:space="preserve">4170065595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119.18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6</v>
      </c>
      <c r="BI2629">
        <v>103</v>
      </c>
      <c r="BJ2629">
        <v>101.9</v>
      </c>
      <c r="BK2629">
        <v>103</v>
      </c>
      <c r="BL2629">
        <v>384.13</v>
      </c>
      <c r="BM2629">
        <v>57.62</v>
      </c>
      <c r="BN2629">
        <v>441.75</v>
      </c>
      <c r="BO2629">
        <v>441.75</v>
      </c>
      <c r="BQ2629" t="s">
        <v>3150</v>
      </c>
      <c r="BR2629" t="s">
        <v>97</v>
      </c>
      <c r="BS2629" s="3">
        <v>45954</v>
      </c>
      <c r="BT2629" s="4">
        <v>0.40416666666666667</v>
      </c>
      <c r="BU2629" t="s">
        <v>3111</v>
      </c>
      <c r="BV2629" t="s">
        <v>86</v>
      </c>
      <c r="BY2629">
        <v>106310</v>
      </c>
      <c r="CA2629" t="s">
        <v>3112</v>
      </c>
      <c r="CC2629" t="s">
        <v>80</v>
      </c>
      <c r="CD2629">
        <v>1644</v>
      </c>
      <c r="CE2629" t="s">
        <v>191</v>
      </c>
      <c r="CF2629" s="3">
        <v>45954</v>
      </c>
      <c r="CI2629">
        <v>1</v>
      </c>
      <c r="CJ2629">
        <v>1</v>
      </c>
      <c r="CK2629">
        <v>42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"080068692223"</f>
        <v>080068692223</v>
      </c>
      <c r="F2630" s="3">
        <v>45953</v>
      </c>
      <c r="G2630">
        <v>202607</v>
      </c>
      <c r="H2630" t="s">
        <v>79</v>
      </c>
      <c r="I2630" t="s">
        <v>80</v>
      </c>
      <c r="J2630" t="s">
        <v>91</v>
      </c>
      <c r="K2630" t="s">
        <v>78</v>
      </c>
      <c r="L2630" t="s">
        <v>148</v>
      </c>
      <c r="M2630" t="s">
        <v>149</v>
      </c>
      <c r="N2630" t="s">
        <v>819</v>
      </c>
      <c r="O2630" t="s">
        <v>226</v>
      </c>
      <c r="P2630" t="str">
        <f>"4170065616                    "</f>
        <v xml:space="preserve">4170065616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27.26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13</v>
      </c>
      <c r="BJ2630">
        <v>8.9</v>
      </c>
      <c r="BK2630">
        <v>13</v>
      </c>
      <c r="BL2630">
        <v>86.53</v>
      </c>
      <c r="BM2630">
        <v>12.98</v>
      </c>
      <c r="BN2630">
        <v>99.51</v>
      </c>
      <c r="BO2630">
        <v>99.51</v>
      </c>
      <c r="BQ2630" t="s">
        <v>820</v>
      </c>
      <c r="BR2630" t="s">
        <v>97</v>
      </c>
      <c r="BS2630" s="3">
        <v>45954</v>
      </c>
      <c r="BT2630" s="4">
        <v>0.44236111111111109</v>
      </c>
      <c r="BU2630" t="s">
        <v>3151</v>
      </c>
      <c r="BV2630" t="s">
        <v>86</v>
      </c>
      <c r="BY2630">
        <v>44640</v>
      </c>
      <c r="CA2630" t="s">
        <v>2853</v>
      </c>
      <c r="CC2630" t="s">
        <v>149</v>
      </c>
      <c r="CD2630">
        <v>2197</v>
      </c>
      <c r="CE2630" t="s">
        <v>191</v>
      </c>
      <c r="CF2630" s="3">
        <v>45954</v>
      </c>
      <c r="CI2630">
        <v>1</v>
      </c>
      <c r="CJ2630">
        <v>1</v>
      </c>
      <c r="CK2630">
        <v>32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"080068692445"</f>
        <v>080068692445</v>
      </c>
      <c r="F2631" s="3">
        <v>45953</v>
      </c>
      <c r="G2631">
        <v>202607</v>
      </c>
      <c r="H2631" t="s">
        <v>79</v>
      </c>
      <c r="I2631" t="s">
        <v>80</v>
      </c>
      <c r="J2631" t="s">
        <v>91</v>
      </c>
      <c r="K2631" t="s">
        <v>78</v>
      </c>
      <c r="L2631" t="s">
        <v>306</v>
      </c>
      <c r="M2631" t="s">
        <v>307</v>
      </c>
      <c r="N2631" t="s">
        <v>3152</v>
      </c>
      <c r="O2631" t="s">
        <v>82</v>
      </c>
      <c r="P2631" t="str">
        <f>"4170065414                    "</f>
        <v xml:space="preserve">4170065414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22.36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16.739999999999998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1.7</v>
      </c>
      <c r="BK2631">
        <v>2</v>
      </c>
      <c r="BL2631">
        <v>87.7</v>
      </c>
      <c r="BM2631">
        <v>13.16</v>
      </c>
      <c r="BN2631">
        <v>100.86</v>
      </c>
      <c r="BO2631">
        <v>100.86</v>
      </c>
      <c r="BQ2631" t="s">
        <v>3153</v>
      </c>
      <c r="BR2631" t="s">
        <v>97</v>
      </c>
      <c r="BS2631" s="3">
        <v>45957</v>
      </c>
      <c r="BT2631" s="4">
        <v>0.59722222222222221</v>
      </c>
      <c r="BU2631" t="s">
        <v>3154</v>
      </c>
      <c r="BV2631" t="s">
        <v>90</v>
      </c>
      <c r="BW2631" t="s">
        <v>136</v>
      </c>
      <c r="BX2631" t="s">
        <v>858</v>
      </c>
      <c r="BY2631">
        <v>8550</v>
      </c>
      <c r="BZ2631" t="s">
        <v>30</v>
      </c>
      <c r="CA2631" t="s">
        <v>157</v>
      </c>
      <c r="CC2631" t="s">
        <v>307</v>
      </c>
      <c r="CD2631">
        <v>4110</v>
      </c>
      <c r="CE2631" t="s">
        <v>191</v>
      </c>
      <c r="CF2631" s="3">
        <v>45958</v>
      </c>
      <c r="CI2631">
        <v>1</v>
      </c>
      <c r="CJ2631">
        <v>2</v>
      </c>
      <c r="CK2631">
        <v>21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"080068692471"</f>
        <v>080068692471</v>
      </c>
      <c r="F2632" s="3">
        <v>45953</v>
      </c>
      <c r="G2632">
        <v>202607</v>
      </c>
      <c r="H2632" t="s">
        <v>79</v>
      </c>
      <c r="I2632" t="s">
        <v>80</v>
      </c>
      <c r="J2632" t="s">
        <v>91</v>
      </c>
      <c r="K2632" t="s">
        <v>78</v>
      </c>
      <c r="L2632" t="s">
        <v>246</v>
      </c>
      <c r="M2632" t="s">
        <v>247</v>
      </c>
      <c r="N2632" t="s">
        <v>248</v>
      </c>
      <c r="O2632" t="s">
        <v>95</v>
      </c>
      <c r="P2632" t="str">
        <f>"4170065495                    "</f>
        <v xml:space="preserve">4170065495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60.97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16.739999999999998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11.1</v>
      </c>
      <c r="BJ2632">
        <v>8</v>
      </c>
      <c r="BK2632">
        <v>12</v>
      </c>
      <c r="BL2632">
        <v>216.13</v>
      </c>
      <c r="BM2632">
        <v>32.42</v>
      </c>
      <c r="BN2632">
        <v>248.55</v>
      </c>
      <c r="BO2632">
        <v>248.55</v>
      </c>
      <c r="BQ2632" t="s">
        <v>249</v>
      </c>
      <c r="BR2632" t="s">
        <v>97</v>
      </c>
      <c r="BS2632" s="3">
        <v>45954</v>
      </c>
      <c r="BT2632" s="4">
        <v>0.4861111111111111</v>
      </c>
      <c r="BU2632" t="s">
        <v>3155</v>
      </c>
      <c r="BV2632" t="s">
        <v>86</v>
      </c>
      <c r="BY2632">
        <v>40056.94</v>
      </c>
      <c r="BZ2632" t="s">
        <v>30</v>
      </c>
      <c r="CC2632" t="s">
        <v>247</v>
      </c>
      <c r="CD2632" s="5" t="s">
        <v>252</v>
      </c>
      <c r="CE2632" t="s">
        <v>107</v>
      </c>
      <c r="CF2632" s="3">
        <v>45957</v>
      </c>
      <c r="CI2632">
        <v>1</v>
      </c>
      <c r="CJ2632">
        <v>1</v>
      </c>
      <c r="CK2632">
        <v>43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"080068692562"</f>
        <v>080068692562</v>
      </c>
      <c r="F2633" s="3">
        <v>45953</v>
      </c>
      <c r="G2633">
        <v>202607</v>
      </c>
      <c r="H2633" t="s">
        <v>79</v>
      </c>
      <c r="I2633" t="s">
        <v>80</v>
      </c>
      <c r="J2633" t="s">
        <v>91</v>
      </c>
      <c r="K2633" t="s">
        <v>78</v>
      </c>
      <c r="L2633" t="s">
        <v>453</v>
      </c>
      <c r="M2633" t="s">
        <v>454</v>
      </c>
      <c r="N2633" t="s">
        <v>665</v>
      </c>
      <c r="O2633" t="s">
        <v>82</v>
      </c>
      <c r="P2633" t="str">
        <f>"4170065562                    "</f>
        <v xml:space="preserve">4170065562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22.36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70.959999999999994</v>
      </c>
      <c r="BM2633">
        <v>10.64</v>
      </c>
      <c r="BN2633">
        <v>81.599999999999994</v>
      </c>
      <c r="BO2633">
        <v>81.599999999999994</v>
      </c>
      <c r="BQ2633" t="s">
        <v>666</v>
      </c>
      <c r="BR2633" t="s">
        <v>97</v>
      </c>
      <c r="BS2633" s="3">
        <v>45954</v>
      </c>
      <c r="BT2633" s="4">
        <v>0.39166666666666666</v>
      </c>
      <c r="BU2633" t="s">
        <v>1562</v>
      </c>
      <c r="BV2633" t="s">
        <v>86</v>
      </c>
      <c r="BY2633">
        <v>1200</v>
      </c>
      <c r="CA2633" t="s">
        <v>742</v>
      </c>
      <c r="CC2633" t="s">
        <v>454</v>
      </c>
      <c r="CD2633">
        <v>3610</v>
      </c>
      <c r="CE2633" t="s">
        <v>147</v>
      </c>
      <c r="CF2633" s="3">
        <v>45954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"080068692889"</f>
        <v>080068692889</v>
      </c>
      <c r="F2634" s="3">
        <v>45953</v>
      </c>
      <c r="G2634">
        <v>202607</v>
      </c>
      <c r="H2634" t="s">
        <v>79</v>
      </c>
      <c r="I2634" t="s">
        <v>80</v>
      </c>
      <c r="J2634" t="s">
        <v>91</v>
      </c>
      <c r="K2634" t="s">
        <v>78</v>
      </c>
      <c r="L2634" t="s">
        <v>121</v>
      </c>
      <c r="M2634" t="s">
        <v>122</v>
      </c>
      <c r="N2634" t="s">
        <v>632</v>
      </c>
      <c r="O2634" t="s">
        <v>82</v>
      </c>
      <c r="P2634" t="str">
        <f>"4170065554                    "</f>
        <v xml:space="preserve">4170065554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201.06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2</v>
      </c>
      <c r="BI2634">
        <v>18</v>
      </c>
      <c r="BJ2634">
        <v>10.6</v>
      </c>
      <c r="BK2634">
        <v>18</v>
      </c>
      <c r="BL2634">
        <v>638.14</v>
      </c>
      <c r="BM2634">
        <v>95.72</v>
      </c>
      <c r="BN2634">
        <v>733.86</v>
      </c>
      <c r="BO2634">
        <v>733.86</v>
      </c>
      <c r="BQ2634" t="s">
        <v>633</v>
      </c>
      <c r="BR2634" t="s">
        <v>97</v>
      </c>
      <c r="BS2634" s="3">
        <v>45954</v>
      </c>
      <c r="BT2634" s="4">
        <v>0.43055555555555558</v>
      </c>
      <c r="BU2634" t="s">
        <v>1507</v>
      </c>
      <c r="BV2634" t="s">
        <v>86</v>
      </c>
      <c r="BY2634">
        <v>26568</v>
      </c>
      <c r="CA2634" t="s">
        <v>635</v>
      </c>
      <c r="CC2634" t="s">
        <v>122</v>
      </c>
      <c r="CD2634">
        <v>4000</v>
      </c>
      <c r="CE2634" t="s">
        <v>1088</v>
      </c>
      <c r="CF2634" s="3">
        <v>45954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"080068693041"</f>
        <v>080068693041</v>
      </c>
      <c r="F2635" s="3">
        <v>45953</v>
      </c>
      <c r="G2635">
        <v>202607</v>
      </c>
      <c r="H2635" t="s">
        <v>79</v>
      </c>
      <c r="I2635" t="s">
        <v>80</v>
      </c>
      <c r="J2635" t="s">
        <v>91</v>
      </c>
      <c r="K2635" t="s">
        <v>78</v>
      </c>
      <c r="L2635" t="s">
        <v>114</v>
      </c>
      <c r="M2635" t="s">
        <v>115</v>
      </c>
      <c r="N2635" t="s">
        <v>746</v>
      </c>
      <c r="O2635" t="s">
        <v>82</v>
      </c>
      <c r="P2635" t="str">
        <f>"4170065820                    "</f>
        <v xml:space="preserve">4170065820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22.36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70.959999999999994</v>
      </c>
      <c r="BM2635">
        <v>10.64</v>
      </c>
      <c r="BN2635">
        <v>81.599999999999994</v>
      </c>
      <c r="BO2635">
        <v>81.599999999999994</v>
      </c>
      <c r="BQ2635" t="s">
        <v>747</v>
      </c>
      <c r="BR2635" t="s">
        <v>97</v>
      </c>
      <c r="BS2635" s="3">
        <v>45954</v>
      </c>
      <c r="BT2635" s="4">
        <v>0.52083333333333337</v>
      </c>
      <c r="BU2635" t="s">
        <v>2770</v>
      </c>
      <c r="BV2635" t="s">
        <v>90</v>
      </c>
      <c r="BY2635">
        <v>1200</v>
      </c>
      <c r="CA2635" t="s">
        <v>749</v>
      </c>
      <c r="CC2635" t="s">
        <v>115</v>
      </c>
      <c r="CD2635">
        <v>5201</v>
      </c>
      <c r="CE2635" t="s">
        <v>147</v>
      </c>
      <c r="CF2635" s="3">
        <v>45956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"080068693426"</f>
        <v>080068693426</v>
      </c>
      <c r="F2636" s="3">
        <v>45953</v>
      </c>
      <c r="G2636">
        <v>202607</v>
      </c>
      <c r="H2636" t="s">
        <v>79</v>
      </c>
      <c r="I2636" t="s">
        <v>80</v>
      </c>
      <c r="J2636" t="s">
        <v>91</v>
      </c>
      <c r="K2636" t="s">
        <v>78</v>
      </c>
      <c r="L2636" t="s">
        <v>168</v>
      </c>
      <c r="M2636" t="s">
        <v>169</v>
      </c>
      <c r="N2636" t="s">
        <v>297</v>
      </c>
      <c r="O2636" t="s">
        <v>95</v>
      </c>
      <c r="P2636" t="str">
        <f>"4170065356                    "</f>
        <v xml:space="preserve">4170065356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359.14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192</v>
      </c>
      <c r="BJ2636">
        <v>139.5</v>
      </c>
      <c r="BK2636">
        <v>192</v>
      </c>
      <c r="BL2636">
        <v>1145.75</v>
      </c>
      <c r="BM2636">
        <v>171.86</v>
      </c>
      <c r="BN2636">
        <v>1317.61</v>
      </c>
      <c r="BO2636">
        <v>1317.61</v>
      </c>
      <c r="BQ2636" t="s">
        <v>298</v>
      </c>
      <c r="BR2636" t="s">
        <v>97</v>
      </c>
      <c r="BS2636" s="3">
        <v>45957</v>
      </c>
      <c r="BT2636" s="4">
        <v>0.41875000000000001</v>
      </c>
      <c r="BU2636" t="s">
        <v>3156</v>
      </c>
      <c r="BV2636" t="s">
        <v>90</v>
      </c>
      <c r="BW2636" t="s">
        <v>188</v>
      </c>
      <c r="BX2636" t="s">
        <v>3157</v>
      </c>
      <c r="BY2636">
        <v>697410</v>
      </c>
      <c r="CA2636" t="s">
        <v>146</v>
      </c>
      <c r="CC2636" t="s">
        <v>169</v>
      </c>
      <c r="CD2636" s="5" t="s">
        <v>190</v>
      </c>
      <c r="CE2636" t="s">
        <v>1122</v>
      </c>
      <c r="CF2636" s="3">
        <v>45957</v>
      </c>
      <c r="CI2636">
        <v>1</v>
      </c>
      <c r="CJ2636">
        <v>2</v>
      </c>
      <c r="CK2636">
        <v>41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"080068693494"</f>
        <v>080068693494</v>
      </c>
      <c r="F2637" s="3">
        <v>45953</v>
      </c>
      <c r="G2637">
        <v>202607</v>
      </c>
      <c r="H2637" t="s">
        <v>79</v>
      </c>
      <c r="I2637" t="s">
        <v>80</v>
      </c>
      <c r="J2637" t="s">
        <v>91</v>
      </c>
      <c r="K2637" t="s">
        <v>78</v>
      </c>
      <c r="L2637" t="s">
        <v>79</v>
      </c>
      <c r="M2637" t="s">
        <v>80</v>
      </c>
      <c r="N2637" t="s">
        <v>357</v>
      </c>
      <c r="O2637" t="s">
        <v>226</v>
      </c>
      <c r="P2637" t="str">
        <f>"4170065712                    "</f>
        <v xml:space="preserve">4170065712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17.47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5</v>
      </c>
      <c r="BJ2637">
        <v>1.8</v>
      </c>
      <c r="BK2637">
        <v>5</v>
      </c>
      <c r="BL2637">
        <v>55.44</v>
      </c>
      <c r="BM2637">
        <v>8.32</v>
      </c>
      <c r="BN2637">
        <v>63.76</v>
      </c>
      <c r="BO2637">
        <v>63.76</v>
      </c>
      <c r="BQ2637" t="s">
        <v>358</v>
      </c>
      <c r="BR2637" t="s">
        <v>97</v>
      </c>
      <c r="BS2637" s="3">
        <v>45954</v>
      </c>
      <c r="BT2637" s="4">
        <v>0.42152777777777778</v>
      </c>
      <c r="BU2637" t="s">
        <v>1254</v>
      </c>
      <c r="BV2637" t="s">
        <v>86</v>
      </c>
      <c r="BY2637">
        <v>8816</v>
      </c>
      <c r="CA2637" t="s">
        <v>3158</v>
      </c>
      <c r="CC2637" t="s">
        <v>80</v>
      </c>
      <c r="CD2637">
        <v>1645</v>
      </c>
      <c r="CE2637" t="s">
        <v>191</v>
      </c>
      <c r="CF2637" s="3">
        <v>45955</v>
      </c>
      <c r="CI2637">
        <v>1</v>
      </c>
      <c r="CJ2637">
        <v>1</v>
      </c>
      <c r="CK2637">
        <v>32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"080068693583"</f>
        <v>080068693583</v>
      </c>
      <c r="F2638" s="3">
        <v>45953</v>
      </c>
      <c r="G2638">
        <v>202607</v>
      </c>
      <c r="H2638" t="s">
        <v>79</v>
      </c>
      <c r="I2638" t="s">
        <v>80</v>
      </c>
      <c r="J2638" t="s">
        <v>91</v>
      </c>
      <c r="K2638" t="s">
        <v>78</v>
      </c>
      <c r="L2638" t="s">
        <v>542</v>
      </c>
      <c r="M2638" t="s">
        <v>543</v>
      </c>
      <c r="N2638" t="s">
        <v>2842</v>
      </c>
      <c r="O2638" t="s">
        <v>95</v>
      </c>
      <c r="P2638" t="str">
        <f>"4170065590                    "</f>
        <v xml:space="preserve">4170065590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122.1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106</v>
      </c>
      <c r="BJ2638">
        <v>80.7</v>
      </c>
      <c r="BK2638">
        <v>106</v>
      </c>
      <c r="BL2638">
        <v>393.41</v>
      </c>
      <c r="BM2638">
        <v>59.01</v>
      </c>
      <c r="BN2638">
        <v>452.42</v>
      </c>
      <c r="BO2638">
        <v>452.42</v>
      </c>
      <c r="BQ2638" t="s">
        <v>2843</v>
      </c>
      <c r="BR2638" t="s">
        <v>97</v>
      </c>
      <c r="BS2638" s="3">
        <v>45954</v>
      </c>
      <c r="BT2638" s="4">
        <v>0.42708333333333331</v>
      </c>
      <c r="BU2638" t="s">
        <v>3159</v>
      </c>
      <c r="BV2638" t="s">
        <v>86</v>
      </c>
      <c r="BY2638">
        <v>403440</v>
      </c>
      <c r="CC2638" t="s">
        <v>543</v>
      </c>
      <c r="CD2638">
        <v>1682</v>
      </c>
      <c r="CE2638" t="s">
        <v>1122</v>
      </c>
      <c r="CF2638" s="3">
        <v>45955</v>
      </c>
      <c r="CI2638">
        <v>1</v>
      </c>
      <c r="CJ2638">
        <v>1</v>
      </c>
      <c r="CK2638">
        <v>42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"080068693704"</f>
        <v>080068693704</v>
      </c>
      <c r="F2639" s="3">
        <v>45953</v>
      </c>
      <c r="G2639">
        <v>202607</v>
      </c>
      <c r="H2639" t="s">
        <v>79</v>
      </c>
      <c r="I2639" t="s">
        <v>80</v>
      </c>
      <c r="J2639" t="s">
        <v>91</v>
      </c>
      <c r="K2639" t="s">
        <v>78</v>
      </c>
      <c r="L2639" t="s">
        <v>79</v>
      </c>
      <c r="M2639" t="s">
        <v>80</v>
      </c>
      <c r="N2639" t="s">
        <v>357</v>
      </c>
      <c r="O2639" t="s">
        <v>82</v>
      </c>
      <c r="P2639" t="str">
        <f>"4170065691                    "</f>
        <v xml:space="preserve">4170065691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17.46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1.8</v>
      </c>
      <c r="BK2639">
        <v>2</v>
      </c>
      <c r="BL2639">
        <v>55.42</v>
      </c>
      <c r="BM2639">
        <v>8.31</v>
      </c>
      <c r="BN2639">
        <v>63.73</v>
      </c>
      <c r="BO2639">
        <v>63.73</v>
      </c>
      <c r="BQ2639" t="s">
        <v>358</v>
      </c>
      <c r="BR2639" t="s">
        <v>97</v>
      </c>
      <c r="BS2639" s="3">
        <v>45954</v>
      </c>
      <c r="BT2639" s="4">
        <v>0.42083333333333334</v>
      </c>
      <c r="BU2639" t="s">
        <v>1254</v>
      </c>
      <c r="BV2639" t="s">
        <v>86</v>
      </c>
      <c r="BY2639">
        <v>8816</v>
      </c>
      <c r="CA2639" t="s">
        <v>3158</v>
      </c>
      <c r="CC2639" t="s">
        <v>80</v>
      </c>
      <c r="CD2639">
        <v>1645</v>
      </c>
      <c r="CE2639" t="s">
        <v>191</v>
      </c>
      <c r="CF2639" s="3">
        <v>45955</v>
      </c>
      <c r="CI2639">
        <v>1</v>
      </c>
      <c r="CJ2639">
        <v>1</v>
      </c>
      <c r="CK2639">
        <v>22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"080068693731"</f>
        <v>080068693731</v>
      </c>
      <c r="F2640" s="3">
        <v>45953</v>
      </c>
      <c r="G2640">
        <v>202607</v>
      </c>
      <c r="H2640" t="s">
        <v>79</v>
      </c>
      <c r="I2640" t="s">
        <v>80</v>
      </c>
      <c r="J2640" t="s">
        <v>91</v>
      </c>
      <c r="K2640" t="s">
        <v>78</v>
      </c>
      <c r="L2640" t="s">
        <v>108</v>
      </c>
      <c r="M2640" t="s">
        <v>109</v>
      </c>
      <c r="N2640" t="s">
        <v>229</v>
      </c>
      <c r="O2640" t="s">
        <v>82</v>
      </c>
      <c r="P2640" t="str">
        <f>"4170065670                    "</f>
        <v xml:space="preserve">4170065670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39.11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3.4</v>
      </c>
      <c r="BK2640">
        <v>3.5</v>
      </c>
      <c r="BL2640">
        <v>124.13</v>
      </c>
      <c r="BM2640">
        <v>18.62</v>
      </c>
      <c r="BN2640">
        <v>142.75</v>
      </c>
      <c r="BO2640">
        <v>142.75</v>
      </c>
      <c r="BQ2640" t="s">
        <v>230</v>
      </c>
      <c r="BR2640" t="s">
        <v>97</v>
      </c>
      <c r="BS2640" s="3">
        <v>45954</v>
      </c>
      <c r="BT2640" s="4">
        <v>0.41319444444444442</v>
      </c>
      <c r="BU2640" t="s">
        <v>3160</v>
      </c>
      <c r="BV2640" t="s">
        <v>86</v>
      </c>
      <c r="BY2640">
        <v>16965</v>
      </c>
      <c r="CA2640" t="s">
        <v>1145</v>
      </c>
      <c r="CC2640" t="s">
        <v>109</v>
      </c>
      <c r="CD2640">
        <v>6001</v>
      </c>
      <c r="CE2640" t="s">
        <v>191</v>
      </c>
      <c r="CF2640" s="3">
        <v>45954</v>
      </c>
      <c r="CI2640">
        <v>1</v>
      </c>
      <c r="CJ2640">
        <v>1</v>
      </c>
      <c r="CK2640">
        <v>21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"080068693765"</f>
        <v>080068693765</v>
      </c>
      <c r="F2641" s="3">
        <v>45953</v>
      </c>
      <c r="G2641">
        <v>202607</v>
      </c>
      <c r="H2641" t="s">
        <v>79</v>
      </c>
      <c r="I2641" t="s">
        <v>80</v>
      </c>
      <c r="J2641" t="s">
        <v>91</v>
      </c>
      <c r="K2641" t="s">
        <v>78</v>
      </c>
      <c r="L2641" t="s">
        <v>108</v>
      </c>
      <c r="M2641" t="s">
        <v>109</v>
      </c>
      <c r="N2641" t="s">
        <v>229</v>
      </c>
      <c r="O2641" t="s">
        <v>82</v>
      </c>
      <c r="P2641" t="str">
        <f>"4170065828                    "</f>
        <v xml:space="preserve">4170065828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39.11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3.4</v>
      </c>
      <c r="BK2641">
        <v>3.5</v>
      </c>
      <c r="BL2641">
        <v>124.13</v>
      </c>
      <c r="BM2641">
        <v>18.62</v>
      </c>
      <c r="BN2641">
        <v>142.75</v>
      </c>
      <c r="BO2641">
        <v>142.75</v>
      </c>
      <c r="BQ2641" t="s">
        <v>230</v>
      </c>
      <c r="BR2641" t="s">
        <v>97</v>
      </c>
      <c r="BS2641" s="3">
        <v>45954</v>
      </c>
      <c r="BT2641" s="4">
        <v>0.41319444444444442</v>
      </c>
      <c r="BU2641" t="s">
        <v>3160</v>
      </c>
      <c r="BV2641" t="s">
        <v>86</v>
      </c>
      <c r="BY2641">
        <v>16965</v>
      </c>
      <c r="CA2641" t="s">
        <v>1145</v>
      </c>
      <c r="CC2641" t="s">
        <v>109</v>
      </c>
      <c r="CD2641">
        <v>6001</v>
      </c>
      <c r="CE2641" t="s">
        <v>191</v>
      </c>
      <c r="CF2641" s="3">
        <v>45954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"080068693864"</f>
        <v>080068693864</v>
      </c>
      <c r="F2642" s="3">
        <v>45953</v>
      </c>
      <c r="G2642">
        <v>202607</v>
      </c>
      <c r="H2642" t="s">
        <v>79</v>
      </c>
      <c r="I2642" t="s">
        <v>80</v>
      </c>
      <c r="J2642" t="s">
        <v>91</v>
      </c>
      <c r="K2642" t="s">
        <v>78</v>
      </c>
      <c r="L2642" t="s">
        <v>453</v>
      </c>
      <c r="M2642" t="s">
        <v>454</v>
      </c>
      <c r="N2642" t="s">
        <v>1223</v>
      </c>
      <c r="O2642" t="s">
        <v>82</v>
      </c>
      <c r="P2642" t="str">
        <f>"4170065767                    "</f>
        <v xml:space="preserve">4170065767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22.36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70.959999999999994</v>
      </c>
      <c r="BM2642">
        <v>10.64</v>
      </c>
      <c r="BN2642">
        <v>81.599999999999994</v>
      </c>
      <c r="BO2642">
        <v>81.599999999999994</v>
      </c>
      <c r="BQ2642" t="s">
        <v>1224</v>
      </c>
      <c r="BR2642" t="s">
        <v>97</v>
      </c>
      <c r="BS2642" s="3">
        <v>45954</v>
      </c>
      <c r="BT2642" s="4">
        <v>0.38472222222222224</v>
      </c>
      <c r="BU2642" t="s">
        <v>2675</v>
      </c>
      <c r="BV2642" t="s">
        <v>86</v>
      </c>
      <c r="BY2642">
        <v>1200</v>
      </c>
      <c r="CA2642" t="s">
        <v>742</v>
      </c>
      <c r="CC2642" t="s">
        <v>454</v>
      </c>
      <c r="CD2642">
        <v>3610</v>
      </c>
      <c r="CE2642" t="s">
        <v>147</v>
      </c>
      <c r="CF2642" s="3">
        <v>45954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"080068693882"</f>
        <v>080068693882</v>
      </c>
      <c r="F2643" s="3">
        <v>45953</v>
      </c>
      <c r="G2643">
        <v>202607</v>
      </c>
      <c r="H2643" t="s">
        <v>79</v>
      </c>
      <c r="I2643" t="s">
        <v>80</v>
      </c>
      <c r="J2643" t="s">
        <v>91</v>
      </c>
      <c r="K2643" t="s">
        <v>78</v>
      </c>
      <c r="L2643" t="s">
        <v>271</v>
      </c>
      <c r="M2643" t="s">
        <v>272</v>
      </c>
      <c r="N2643" t="s">
        <v>1428</v>
      </c>
      <c r="O2643" t="s">
        <v>82</v>
      </c>
      <c r="P2643" t="str">
        <f>"4170065672                    "</f>
        <v xml:space="preserve">4170065672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17.46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1.9</v>
      </c>
      <c r="BK2643">
        <v>2</v>
      </c>
      <c r="BL2643">
        <v>55.42</v>
      </c>
      <c r="BM2643">
        <v>8.31</v>
      </c>
      <c r="BN2643">
        <v>63.73</v>
      </c>
      <c r="BO2643">
        <v>63.73</v>
      </c>
      <c r="BQ2643" t="s">
        <v>1429</v>
      </c>
      <c r="BR2643" t="s">
        <v>97</v>
      </c>
      <c r="BS2643" s="3">
        <v>45954</v>
      </c>
      <c r="BT2643" s="4">
        <v>0.36805555555555558</v>
      </c>
      <c r="BU2643" t="s">
        <v>3161</v>
      </c>
      <c r="BV2643" t="s">
        <v>86</v>
      </c>
      <c r="BY2643">
        <v>9600</v>
      </c>
      <c r="CA2643" t="s">
        <v>1659</v>
      </c>
      <c r="CC2643" t="s">
        <v>272</v>
      </c>
      <c r="CD2643">
        <v>1406</v>
      </c>
      <c r="CE2643" t="s">
        <v>191</v>
      </c>
      <c r="CF2643" s="3">
        <v>45954</v>
      </c>
      <c r="CI2643">
        <v>1</v>
      </c>
      <c r="CJ2643">
        <v>1</v>
      </c>
      <c r="CK2643">
        <v>22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"080068694053"</f>
        <v>080068694053</v>
      </c>
      <c r="F2644" s="3">
        <v>45953</v>
      </c>
      <c r="G2644">
        <v>202607</v>
      </c>
      <c r="H2644" t="s">
        <v>79</v>
      </c>
      <c r="I2644" t="s">
        <v>80</v>
      </c>
      <c r="J2644" t="s">
        <v>91</v>
      </c>
      <c r="K2644" t="s">
        <v>78</v>
      </c>
      <c r="L2644" t="s">
        <v>168</v>
      </c>
      <c r="M2644" t="s">
        <v>169</v>
      </c>
      <c r="N2644" t="s">
        <v>688</v>
      </c>
      <c r="O2644" t="s">
        <v>82</v>
      </c>
      <c r="P2644" t="str">
        <f>"4170065708                    "</f>
        <v xml:space="preserve">4170065708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22.36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1.7</v>
      </c>
      <c r="BK2644">
        <v>2</v>
      </c>
      <c r="BL2644">
        <v>70.959999999999994</v>
      </c>
      <c r="BM2644">
        <v>10.64</v>
      </c>
      <c r="BN2644">
        <v>81.599999999999994</v>
      </c>
      <c r="BO2644">
        <v>81.599999999999994</v>
      </c>
      <c r="BQ2644" t="s">
        <v>689</v>
      </c>
      <c r="BR2644" t="s">
        <v>97</v>
      </c>
      <c r="BS2644" s="3">
        <v>45954</v>
      </c>
      <c r="BT2644" s="4">
        <v>0.32083333333333336</v>
      </c>
      <c r="BU2644" t="s">
        <v>1151</v>
      </c>
      <c r="BV2644" t="s">
        <v>86</v>
      </c>
      <c r="BY2644">
        <v>8512</v>
      </c>
      <c r="CA2644">
        <v>8303236124087</v>
      </c>
      <c r="CC2644" t="s">
        <v>169</v>
      </c>
      <c r="CD2644" s="5" t="s">
        <v>190</v>
      </c>
      <c r="CE2644" t="s">
        <v>191</v>
      </c>
      <c r="CF2644" s="3">
        <v>45954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"080068694109"</f>
        <v>080068694109</v>
      </c>
      <c r="F2645" s="3">
        <v>45953</v>
      </c>
      <c r="G2645">
        <v>202607</v>
      </c>
      <c r="H2645" t="s">
        <v>79</v>
      </c>
      <c r="I2645" t="s">
        <v>80</v>
      </c>
      <c r="J2645" t="s">
        <v>91</v>
      </c>
      <c r="K2645" t="s">
        <v>78</v>
      </c>
      <c r="L2645" t="s">
        <v>102</v>
      </c>
      <c r="M2645" t="s">
        <v>103</v>
      </c>
      <c r="N2645" t="s">
        <v>618</v>
      </c>
      <c r="O2645" t="s">
        <v>82</v>
      </c>
      <c r="P2645" t="str">
        <f>"4170065668                    "</f>
        <v xml:space="preserve">4170065668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17.46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2</v>
      </c>
      <c r="BJ2645">
        <v>1.7</v>
      </c>
      <c r="BK2645">
        <v>2</v>
      </c>
      <c r="BL2645">
        <v>55.42</v>
      </c>
      <c r="BM2645">
        <v>8.31</v>
      </c>
      <c r="BN2645">
        <v>63.73</v>
      </c>
      <c r="BO2645">
        <v>63.73</v>
      </c>
      <c r="BQ2645" t="s">
        <v>619</v>
      </c>
      <c r="BR2645" t="s">
        <v>97</v>
      </c>
      <c r="BS2645" s="3">
        <v>45954</v>
      </c>
      <c r="BT2645" s="4">
        <v>0.3125</v>
      </c>
      <c r="BU2645" t="s">
        <v>165</v>
      </c>
      <c r="BV2645" t="s">
        <v>86</v>
      </c>
      <c r="BY2645">
        <v>8550</v>
      </c>
      <c r="CA2645" t="s">
        <v>621</v>
      </c>
      <c r="CC2645" t="s">
        <v>103</v>
      </c>
      <c r="CD2645">
        <v>1451</v>
      </c>
      <c r="CE2645" t="s">
        <v>191</v>
      </c>
      <c r="CF2645" s="3">
        <v>45954</v>
      </c>
      <c r="CI2645">
        <v>1</v>
      </c>
      <c r="CJ2645">
        <v>1</v>
      </c>
      <c r="CK2645">
        <v>22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"080068694195"</f>
        <v>080068694195</v>
      </c>
      <c r="F2646" s="3">
        <v>45953</v>
      </c>
      <c r="G2646">
        <v>202607</v>
      </c>
      <c r="H2646" t="s">
        <v>79</v>
      </c>
      <c r="I2646" t="s">
        <v>80</v>
      </c>
      <c r="J2646" t="s">
        <v>91</v>
      </c>
      <c r="K2646" t="s">
        <v>78</v>
      </c>
      <c r="L2646" t="s">
        <v>763</v>
      </c>
      <c r="M2646" t="s">
        <v>764</v>
      </c>
      <c r="N2646" t="s">
        <v>765</v>
      </c>
      <c r="O2646" t="s">
        <v>82</v>
      </c>
      <c r="P2646" t="str">
        <f>"4170065817                    "</f>
        <v xml:space="preserve">4170065817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131.33000000000001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6.1</v>
      </c>
      <c r="BJ2646">
        <v>2.9</v>
      </c>
      <c r="BK2646">
        <v>6.5</v>
      </c>
      <c r="BL2646">
        <v>416.83</v>
      </c>
      <c r="BM2646">
        <v>62.52</v>
      </c>
      <c r="BN2646">
        <v>479.35</v>
      </c>
      <c r="BO2646">
        <v>479.35</v>
      </c>
      <c r="BQ2646" t="s">
        <v>766</v>
      </c>
      <c r="BR2646" t="s">
        <v>97</v>
      </c>
      <c r="BS2646" s="3">
        <v>45954</v>
      </c>
      <c r="BT2646" s="4">
        <v>0.46875</v>
      </c>
      <c r="BU2646" t="s">
        <v>2625</v>
      </c>
      <c r="BV2646" t="s">
        <v>86</v>
      </c>
      <c r="BY2646">
        <v>14654.64</v>
      </c>
      <c r="CA2646" t="s">
        <v>768</v>
      </c>
      <c r="CC2646" t="s">
        <v>764</v>
      </c>
      <c r="CD2646">
        <v>2531</v>
      </c>
      <c r="CE2646" t="s">
        <v>191</v>
      </c>
      <c r="CF2646" s="3">
        <v>45957</v>
      </c>
      <c r="CI2646">
        <v>1</v>
      </c>
      <c r="CJ2646">
        <v>1</v>
      </c>
      <c r="CK2646">
        <v>23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"080068694244"</f>
        <v>080068694244</v>
      </c>
      <c r="F2647" s="3">
        <v>45953</v>
      </c>
      <c r="G2647">
        <v>202607</v>
      </c>
      <c r="H2647" t="s">
        <v>79</v>
      </c>
      <c r="I2647" t="s">
        <v>80</v>
      </c>
      <c r="J2647" t="s">
        <v>91</v>
      </c>
      <c r="K2647" t="s">
        <v>78</v>
      </c>
      <c r="L2647" t="s">
        <v>530</v>
      </c>
      <c r="M2647" t="s">
        <v>531</v>
      </c>
      <c r="N2647" t="s">
        <v>754</v>
      </c>
      <c r="O2647" t="s">
        <v>95</v>
      </c>
      <c r="P2647" t="str">
        <f>"4170065474                    "</f>
        <v xml:space="preserve">4170065474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82.77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21.3</v>
      </c>
      <c r="BJ2647">
        <v>9.6999999999999993</v>
      </c>
      <c r="BK2647">
        <v>22</v>
      </c>
      <c r="BL2647">
        <v>268.58</v>
      </c>
      <c r="BM2647">
        <v>40.29</v>
      </c>
      <c r="BN2647">
        <v>308.87</v>
      </c>
      <c r="BO2647">
        <v>308.87</v>
      </c>
      <c r="BQ2647" t="s">
        <v>755</v>
      </c>
      <c r="BR2647" t="s">
        <v>97</v>
      </c>
      <c r="BS2647" s="3">
        <v>45957</v>
      </c>
      <c r="BT2647" s="4">
        <v>0.51527777777777772</v>
      </c>
      <c r="BU2647" t="s">
        <v>1906</v>
      </c>
      <c r="BV2647" t="s">
        <v>86</v>
      </c>
      <c r="BY2647">
        <v>48646.400000000001</v>
      </c>
      <c r="CA2647" t="s">
        <v>535</v>
      </c>
      <c r="CC2647" t="s">
        <v>531</v>
      </c>
      <c r="CD2647">
        <v>6850</v>
      </c>
      <c r="CE2647" t="s">
        <v>191</v>
      </c>
      <c r="CF2647" s="3">
        <v>45958</v>
      </c>
      <c r="CI2647">
        <v>4</v>
      </c>
      <c r="CJ2647">
        <v>2</v>
      </c>
      <c r="CK2647">
        <v>43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"080068694457"</f>
        <v>080068694457</v>
      </c>
      <c r="F2648" s="3">
        <v>45953</v>
      </c>
      <c r="G2648">
        <v>202607</v>
      </c>
      <c r="H2648" t="s">
        <v>79</v>
      </c>
      <c r="I2648" t="s">
        <v>80</v>
      </c>
      <c r="J2648" t="s">
        <v>91</v>
      </c>
      <c r="K2648" t="s">
        <v>78</v>
      </c>
      <c r="L2648" t="s">
        <v>168</v>
      </c>
      <c r="M2648" t="s">
        <v>169</v>
      </c>
      <c r="N2648" t="s">
        <v>297</v>
      </c>
      <c r="O2648" t="s">
        <v>82</v>
      </c>
      <c r="P2648" t="str">
        <f>"4170065410                    "</f>
        <v xml:space="preserve">4170065410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22.36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70.959999999999994</v>
      </c>
      <c r="BM2648">
        <v>10.64</v>
      </c>
      <c r="BN2648">
        <v>81.599999999999994</v>
      </c>
      <c r="BO2648">
        <v>81.599999999999994</v>
      </c>
      <c r="BQ2648" t="s">
        <v>298</v>
      </c>
      <c r="BR2648" t="s">
        <v>97</v>
      </c>
      <c r="BS2648" s="3">
        <v>45957</v>
      </c>
      <c r="BT2648" s="4">
        <v>0.41319444444444442</v>
      </c>
      <c r="BU2648" t="s">
        <v>3162</v>
      </c>
      <c r="BV2648" t="s">
        <v>90</v>
      </c>
      <c r="BW2648" t="s">
        <v>188</v>
      </c>
      <c r="BX2648" t="s">
        <v>3157</v>
      </c>
      <c r="BY2648">
        <v>1200</v>
      </c>
      <c r="CA2648">
        <v>8303236124087</v>
      </c>
      <c r="CC2648" t="s">
        <v>169</v>
      </c>
      <c r="CD2648" s="5" t="s">
        <v>190</v>
      </c>
      <c r="CE2648" t="s">
        <v>147</v>
      </c>
      <c r="CF2648" s="3">
        <v>45957</v>
      </c>
      <c r="CI2648">
        <v>1</v>
      </c>
      <c r="CJ2648">
        <v>2</v>
      </c>
      <c r="CK2648">
        <v>21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"080068694583"</f>
        <v>080068694583</v>
      </c>
      <c r="F2649" s="3">
        <v>45953</v>
      </c>
      <c r="G2649">
        <v>202607</v>
      </c>
      <c r="H2649" t="s">
        <v>79</v>
      </c>
      <c r="I2649" t="s">
        <v>80</v>
      </c>
      <c r="J2649" t="s">
        <v>91</v>
      </c>
      <c r="K2649" t="s">
        <v>78</v>
      </c>
      <c r="L2649" t="s">
        <v>168</v>
      </c>
      <c r="M2649" t="s">
        <v>169</v>
      </c>
      <c r="N2649" t="s">
        <v>923</v>
      </c>
      <c r="O2649" t="s">
        <v>82</v>
      </c>
      <c r="P2649" t="str">
        <f>"4170065653                    "</f>
        <v xml:space="preserve">4170065653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22.36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70.959999999999994</v>
      </c>
      <c r="BM2649">
        <v>10.64</v>
      </c>
      <c r="BN2649">
        <v>81.599999999999994</v>
      </c>
      <c r="BO2649">
        <v>81.599999999999994</v>
      </c>
      <c r="BQ2649" t="s">
        <v>924</v>
      </c>
      <c r="BR2649" t="s">
        <v>97</v>
      </c>
      <c r="BS2649" s="3">
        <v>45954</v>
      </c>
      <c r="BT2649" s="4">
        <v>0.35347222222222224</v>
      </c>
      <c r="BU2649" t="s">
        <v>925</v>
      </c>
      <c r="BV2649" t="s">
        <v>86</v>
      </c>
      <c r="BY2649">
        <v>1200</v>
      </c>
      <c r="CA2649">
        <v>9107126013089</v>
      </c>
      <c r="CC2649" t="s">
        <v>169</v>
      </c>
      <c r="CD2649" s="5" t="s">
        <v>926</v>
      </c>
      <c r="CE2649" t="s">
        <v>147</v>
      </c>
      <c r="CF2649" s="3">
        <v>45954</v>
      </c>
      <c r="CI2649">
        <v>1</v>
      </c>
      <c r="CJ2649">
        <v>1</v>
      </c>
      <c r="CK2649">
        <v>21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"080068694611"</f>
        <v>080068694611</v>
      </c>
      <c r="F2650" s="3">
        <v>45953</v>
      </c>
      <c r="G2650">
        <v>202607</v>
      </c>
      <c r="H2650" t="s">
        <v>79</v>
      </c>
      <c r="I2650" t="s">
        <v>80</v>
      </c>
      <c r="J2650" t="s">
        <v>91</v>
      </c>
      <c r="K2650" t="s">
        <v>78</v>
      </c>
      <c r="L2650" t="s">
        <v>271</v>
      </c>
      <c r="M2650" t="s">
        <v>272</v>
      </c>
      <c r="N2650" t="s">
        <v>273</v>
      </c>
      <c r="O2650" t="s">
        <v>226</v>
      </c>
      <c r="P2650" t="str">
        <f>"4170065626                    "</f>
        <v xml:space="preserve">4170065626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17.47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6</v>
      </c>
      <c r="BJ2650">
        <v>3.4</v>
      </c>
      <c r="BK2650">
        <v>6</v>
      </c>
      <c r="BL2650">
        <v>55.44</v>
      </c>
      <c r="BM2650">
        <v>8.32</v>
      </c>
      <c r="BN2650">
        <v>63.76</v>
      </c>
      <c r="BO2650">
        <v>63.76</v>
      </c>
      <c r="BQ2650" t="s">
        <v>274</v>
      </c>
      <c r="BR2650" t="s">
        <v>97</v>
      </c>
      <c r="BS2650" s="3">
        <v>45954</v>
      </c>
      <c r="BT2650" s="4">
        <v>0.51458333333333328</v>
      </c>
      <c r="BU2650" t="s">
        <v>3163</v>
      </c>
      <c r="BV2650" t="s">
        <v>86</v>
      </c>
      <c r="BY2650">
        <v>16965</v>
      </c>
      <c r="CA2650" t="s">
        <v>661</v>
      </c>
      <c r="CC2650" t="s">
        <v>272</v>
      </c>
      <c r="CD2650">
        <v>1422</v>
      </c>
      <c r="CE2650" t="s">
        <v>191</v>
      </c>
      <c r="CF2650" s="3">
        <v>45955</v>
      </c>
      <c r="CI2650">
        <v>1</v>
      </c>
      <c r="CJ2650">
        <v>1</v>
      </c>
      <c r="CK2650">
        <v>32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"080068694934"</f>
        <v>080068694934</v>
      </c>
      <c r="F2651" s="3">
        <v>45953</v>
      </c>
      <c r="G2651">
        <v>202607</v>
      </c>
      <c r="H2651" t="s">
        <v>79</v>
      </c>
      <c r="I2651" t="s">
        <v>80</v>
      </c>
      <c r="J2651" t="s">
        <v>91</v>
      </c>
      <c r="K2651" t="s">
        <v>78</v>
      </c>
      <c r="L2651" t="s">
        <v>206</v>
      </c>
      <c r="M2651" t="s">
        <v>207</v>
      </c>
      <c r="N2651" t="s">
        <v>3164</v>
      </c>
      <c r="O2651" t="s">
        <v>82</v>
      </c>
      <c r="P2651" t="str">
        <f>"4170065816                    "</f>
        <v xml:space="preserve">4170065816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22.36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70.959999999999994</v>
      </c>
      <c r="BM2651">
        <v>10.64</v>
      </c>
      <c r="BN2651">
        <v>81.599999999999994</v>
      </c>
      <c r="BO2651">
        <v>81.599999999999994</v>
      </c>
      <c r="BQ2651" t="s">
        <v>3165</v>
      </c>
      <c r="BR2651" t="s">
        <v>97</v>
      </c>
      <c r="BS2651" s="3">
        <v>45954</v>
      </c>
      <c r="BT2651" s="4">
        <v>0.42916666666666664</v>
      </c>
      <c r="BU2651" t="s">
        <v>3166</v>
      </c>
      <c r="BV2651" t="s">
        <v>86</v>
      </c>
      <c r="BY2651">
        <v>1200</v>
      </c>
      <c r="CA2651" t="s">
        <v>1891</v>
      </c>
      <c r="CC2651" t="s">
        <v>207</v>
      </c>
      <c r="CD2651">
        <v>7480</v>
      </c>
      <c r="CE2651" t="s">
        <v>147</v>
      </c>
      <c r="CF2651" s="3">
        <v>45957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"080068694968"</f>
        <v>080068694968</v>
      </c>
      <c r="F2652" s="3">
        <v>45953</v>
      </c>
      <c r="G2652">
        <v>202607</v>
      </c>
      <c r="H2652" t="s">
        <v>79</v>
      </c>
      <c r="I2652" t="s">
        <v>80</v>
      </c>
      <c r="J2652" t="s">
        <v>91</v>
      </c>
      <c r="K2652" t="s">
        <v>78</v>
      </c>
      <c r="L2652" t="s">
        <v>322</v>
      </c>
      <c r="M2652" t="s">
        <v>322</v>
      </c>
      <c r="N2652" t="s">
        <v>1231</v>
      </c>
      <c r="O2652" t="s">
        <v>82</v>
      </c>
      <c r="P2652" t="str">
        <f>"4170065822                    "</f>
        <v xml:space="preserve">4170065822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43.31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137.47</v>
      </c>
      <c r="BM2652">
        <v>20.62</v>
      </c>
      <c r="BN2652">
        <v>158.09</v>
      </c>
      <c r="BO2652">
        <v>158.09</v>
      </c>
      <c r="BQ2652" t="s">
        <v>1232</v>
      </c>
      <c r="BR2652" t="s">
        <v>97</v>
      </c>
      <c r="BS2652" s="3">
        <v>45954</v>
      </c>
      <c r="BT2652" s="4">
        <v>0.50486111111111109</v>
      </c>
      <c r="BU2652" t="s">
        <v>1233</v>
      </c>
      <c r="BV2652" t="s">
        <v>86</v>
      </c>
      <c r="BY2652">
        <v>1200</v>
      </c>
      <c r="CA2652" t="s">
        <v>326</v>
      </c>
      <c r="CC2652" t="s">
        <v>322</v>
      </c>
      <c r="CD2652">
        <v>7646</v>
      </c>
      <c r="CE2652" t="s">
        <v>147</v>
      </c>
      <c r="CF2652" s="3">
        <v>45957</v>
      </c>
      <c r="CI2652">
        <v>1</v>
      </c>
      <c r="CJ2652">
        <v>1</v>
      </c>
      <c r="CK2652">
        <v>23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"080068695001"</f>
        <v>080068695001</v>
      </c>
      <c r="F2653" s="3">
        <v>45953</v>
      </c>
      <c r="G2653">
        <v>202607</v>
      </c>
      <c r="H2653" t="s">
        <v>79</v>
      </c>
      <c r="I2653" t="s">
        <v>80</v>
      </c>
      <c r="J2653" t="s">
        <v>91</v>
      </c>
      <c r="K2653" t="s">
        <v>78</v>
      </c>
      <c r="L2653" t="s">
        <v>985</v>
      </c>
      <c r="M2653" t="s">
        <v>986</v>
      </c>
      <c r="N2653" t="s">
        <v>987</v>
      </c>
      <c r="O2653" t="s">
        <v>82</v>
      </c>
      <c r="P2653" t="str">
        <f>"4170065682                    "</f>
        <v xml:space="preserve">4170065682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22.36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70.959999999999994</v>
      </c>
      <c r="BM2653">
        <v>10.64</v>
      </c>
      <c r="BN2653">
        <v>81.599999999999994</v>
      </c>
      <c r="BO2653">
        <v>81.599999999999994</v>
      </c>
      <c r="BQ2653" t="s">
        <v>988</v>
      </c>
      <c r="BR2653" t="s">
        <v>97</v>
      </c>
      <c r="BS2653" s="3">
        <v>45954</v>
      </c>
      <c r="BT2653" s="4">
        <v>0.41666666666666669</v>
      </c>
      <c r="BU2653" t="s">
        <v>3167</v>
      </c>
      <c r="BV2653" t="s">
        <v>86</v>
      </c>
      <c r="BY2653">
        <v>1200</v>
      </c>
      <c r="CC2653" t="s">
        <v>986</v>
      </c>
      <c r="CD2653">
        <v>7600</v>
      </c>
      <c r="CE2653" t="s">
        <v>147</v>
      </c>
      <c r="CF2653" s="3">
        <v>45957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"080068695054"</f>
        <v>080068695054</v>
      </c>
      <c r="F2654" s="3">
        <v>45953</v>
      </c>
      <c r="G2654">
        <v>202607</v>
      </c>
      <c r="H2654" t="s">
        <v>79</v>
      </c>
      <c r="I2654" t="s">
        <v>80</v>
      </c>
      <c r="J2654" t="s">
        <v>91</v>
      </c>
      <c r="K2654" t="s">
        <v>78</v>
      </c>
      <c r="L2654" t="s">
        <v>223</v>
      </c>
      <c r="M2654" t="s">
        <v>224</v>
      </c>
      <c r="N2654" t="s">
        <v>505</v>
      </c>
      <c r="O2654" t="s">
        <v>226</v>
      </c>
      <c r="P2654" t="str">
        <f>"4170065386                    "</f>
        <v xml:space="preserve">4170065386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17.47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4</v>
      </c>
      <c r="BJ2654">
        <v>1.8</v>
      </c>
      <c r="BK2654">
        <v>4</v>
      </c>
      <c r="BL2654">
        <v>55.44</v>
      </c>
      <c r="BM2654">
        <v>8.32</v>
      </c>
      <c r="BN2654">
        <v>63.76</v>
      </c>
      <c r="BO2654">
        <v>63.76</v>
      </c>
      <c r="BQ2654" t="s">
        <v>506</v>
      </c>
      <c r="BR2654" t="s">
        <v>97</v>
      </c>
      <c r="BS2654" s="3">
        <v>45954</v>
      </c>
      <c r="BT2654" s="4">
        <v>0.38263888888888886</v>
      </c>
      <c r="BU2654" t="s">
        <v>507</v>
      </c>
      <c r="BV2654" t="s">
        <v>86</v>
      </c>
      <c r="BY2654">
        <v>8816</v>
      </c>
      <c r="CA2654" t="s">
        <v>508</v>
      </c>
      <c r="CC2654" t="s">
        <v>224</v>
      </c>
      <c r="CD2654">
        <v>1459</v>
      </c>
      <c r="CE2654" t="s">
        <v>191</v>
      </c>
      <c r="CF2654" s="3">
        <v>45954</v>
      </c>
      <c r="CI2654">
        <v>1</v>
      </c>
      <c r="CJ2654">
        <v>1</v>
      </c>
      <c r="CK2654">
        <v>32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"080068695060"</f>
        <v>080068695060</v>
      </c>
      <c r="F2655" s="3">
        <v>45953</v>
      </c>
      <c r="G2655">
        <v>202607</v>
      </c>
      <c r="H2655" t="s">
        <v>79</v>
      </c>
      <c r="I2655" t="s">
        <v>80</v>
      </c>
      <c r="J2655" t="s">
        <v>91</v>
      </c>
      <c r="K2655" t="s">
        <v>78</v>
      </c>
      <c r="L2655" t="s">
        <v>206</v>
      </c>
      <c r="M2655" t="s">
        <v>207</v>
      </c>
      <c r="N2655" t="s">
        <v>656</v>
      </c>
      <c r="O2655" t="s">
        <v>82</v>
      </c>
      <c r="P2655" t="str">
        <f>"4170065775                    "</f>
        <v xml:space="preserve">4170065775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22.36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70.959999999999994</v>
      </c>
      <c r="BM2655">
        <v>10.64</v>
      </c>
      <c r="BN2655">
        <v>81.599999999999994</v>
      </c>
      <c r="BO2655">
        <v>81.599999999999994</v>
      </c>
      <c r="BQ2655" t="s">
        <v>657</v>
      </c>
      <c r="BR2655" t="s">
        <v>97</v>
      </c>
      <c r="BS2655" s="3">
        <v>45954</v>
      </c>
      <c r="BT2655" s="4">
        <v>0.39861111111111114</v>
      </c>
      <c r="BU2655" t="s">
        <v>658</v>
      </c>
      <c r="BV2655" t="s">
        <v>86</v>
      </c>
      <c r="BY2655">
        <v>1200</v>
      </c>
      <c r="CA2655" t="s">
        <v>211</v>
      </c>
      <c r="CC2655" t="s">
        <v>207</v>
      </c>
      <c r="CD2655">
        <v>7441</v>
      </c>
      <c r="CE2655" t="s">
        <v>147</v>
      </c>
      <c r="CF2655" s="3">
        <v>45957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"080068695098"</f>
        <v>080068695098</v>
      </c>
      <c r="F2656" s="3">
        <v>45953</v>
      </c>
      <c r="G2656">
        <v>202607</v>
      </c>
      <c r="H2656" t="s">
        <v>79</v>
      </c>
      <c r="I2656" t="s">
        <v>80</v>
      </c>
      <c r="J2656" t="s">
        <v>91</v>
      </c>
      <c r="K2656" t="s">
        <v>78</v>
      </c>
      <c r="L2656" t="s">
        <v>206</v>
      </c>
      <c r="M2656" t="s">
        <v>207</v>
      </c>
      <c r="N2656" t="s">
        <v>427</v>
      </c>
      <c r="O2656" t="s">
        <v>82</v>
      </c>
      <c r="P2656" t="str">
        <f>"4170065810                    "</f>
        <v xml:space="preserve">4170065810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22.36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70.959999999999994</v>
      </c>
      <c r="BM2656">
        <v>10.64</v>
      </c>
      <c r="BN2656">
        <v>81.599999999999994</v>
      </c>
      <c r="BO2656">
        <v>81.599999999999994</v>
      </c>
      <c r="BQ2656" t="s">
        <v>428</v>
      </c>
      <c r="BR2656" t="s">
        <v>97</v>
      </c>
      <c r="BS2656" s="3">
        <v>45954</v>
      </c>
      <c r="BT2656" s="4">
        <v>0.31736111111111109</v>
      </c>
      <c r="BU2656" t="s">
        <v>1832</v>
      </c>
      <c r="BV2656" t="s">
        <v>86</v>
      </c>
      <c r="BY2656">
        <v>1200</v>
      </c>
      <c r="CA2656" t="s">
        <v>423</v>
      </c>
      <c r="CC2656" t="s">
        <v>207</v>
      </c>
      <c r="CD2656">
        <v>7530</v>
      </c>
      <c r="CE2656" t="s">
        <v>147</v>
      </c>
      <c r="CF2656" s="3">
        <v>45957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"080068695114"</f>
        <v>080068695114</v>
      </c>
      <c r="F2657" s="3">
        <v>45953</v>
      </c>
      <c r="G2657">
        <v>202607</v>
      </c>
      <c r="H2657" t="s">
        <v>79</v>
      </c>
      <c r="I2657" t="s">
        <v>80</v>
      </c>
      <c r="J2657" t="s">
        <v>91</v>
      </c>
      <c r="K2657" t="s">
        <v>78</v>
      </c>
      <c r="L2657" t="s">
        <v>446</v>
      </c>
      <c r="M2657" t="s">
        <v>447</v>
      </c>
      <c r="N2657" t="s">
        <v>448</v>
      </c>
      <c r="O2657" t="s">
        <v>82</v>
      </c>
      <c r="P2657" t="str">
        <f>"4170065698                    "</f>
        <v xml:space="preserve">4170065698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43.31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137.47</v>
      </c>
      <c r="BM2657">
        <v>20.62</v>
      </c>
      <c r="BN2657">
        <v>158.09</v>
      </c>
      <c r="BO2657">
        <v>158.09</v>
      </c>
      <c r="BQ2657" t="s">
        <v>449</v>
      </c>
      <c r="BR2657" t="s">
        <v>97</v>
      </c>
      <c r="BS2657" s="3">
        <v>45954</v>
      </c>
      <c r="BT2657" s="4">
        <v>0.48680555555555555</v>
      </c>
      <c r="BU2657" t="s">
        <v>450</v>
      </c>
      <c r="BV2657" t="s">
        <v>86</v>
      </c>
      <c r="BY2657">
        <v>1200</v>
      </c>
      <c r="CA2657" t="s">
        <v>1124</v>
      </c>
      <c r="CC2657" t="s">
        <v>447</v>
      </c>
      <c r="CD2657">
        <v>7130</v>
      </c>
      <c r="CE2657" t="s">
        <v>147</v>
      </c>
      <c r="CF2657" s="3">
        <v>45957</v>
      </c>
      <c r="CI2657">
        <v>1</v>
      </c>
      <c r="CJ2657">
        <v>1</v>
      </c>
      <c r="CK2657">
        <v>23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"080068695125"</f>
        <v>080068695125</v>
      </c>
      <c r="F2658" s="3">
        <v>45953</v>
      </c>
      <c r="G2658">
        <v>202607</v>
      </c>
      <c r="H2658" t="s">
        <v>79</v>
      </c>
      <c r="I2658" t="s">
        <v>80</v>
      </c>
      <c r="J2658" t="s">
        <v>91</v>
      </c>
      <c r="K2658" t="s">
        <v>78</v>
      </c>
      <c r="L2658" t="s">
        <v>148</v>
      </c>
      <c r="M2658" t="s">
        <v>149</v>
      </c>
      <c r="N2658" t="s">
        <v>3168</v>
      </c>
      <c r="O2658" t="s">
        <v>95</v>
      </c>
      <c r="P2658" t="str">
        <f>"4170065652                    "</f>
        <v xml:space="preserve">4170065652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40.19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2</v>
      </c>
      <c r="BI2658">
        <v>20</v>
      </c>
      <c r="BJ2658">
        <v>21.9</v>
      </c>
      <c r="BK2658">
        <v>22</v>
      </c>
      <c r="BL2658">
        <v>133.41999999999999</v>
      </c>
      <c r="BM2658">
        <v>20.010000000000002</v>
      </c>
      <c r="BN2658">
        <v>153.43</v>
      </c>
      <c r="BO2658">
        <v>153.43</v>
      </c>
      <c r="BQ2658" t="s">
        <v>3169</v>
      </c>
      <c r="BR2658" t="s">
        <v>97</v>
      </c>
      <c r="BS2658" s="3">
        <v>45954</v>
      </c>
      <c r="BT2658" s="4">
        <v>0.37083333333333335</v>
      </c>
      <c r="BU2658" t="s">
        <v>3170</v>
      </c>
      <c r="BV2658" t="s">
        <v>86</v>
      </c>
      <c r="BY2658">
        <v>109616</v>
      </c>
      <c r="CA2658" t="s">
        <v>3171</v>
      </c>
      <c r="CC2658" t="s">
        <v>149</v>
      </c>
      <c r="CD2658">
        <v>2008</v>
      </c>
      <c r="CE2658" t="s">
        <v>191</v>
      </c>
      <c r="CF2658" s="3">
        <v>45954</v>
      </c>
      <c r="CI2658">
        <v>1</v>
      </c>
      <c r="CJ2658">
        <v>1</v>
      </c>
      <c r="CK2658">
        <v>42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"080068695145"</f>
        <v>080068695145</v>
      </c>
      <c r="F2659" s="3">
        <v>45953</v>
      </c>
      <c r="G2659">
        <v>202607</v>
      </c>
      <c r="H2659" t="s">
        <v>79</v>
      </c>
      <c r="I2659" t="s">
        <v>80</v>
      </c>
      <c r="J2659" t="s">
        <v>91</v>
      </c>
      <c r="K2659" t="s">
        <v>78</v>
      </c>
      <c r="L2659" t="s">
        <v>206</v>
      </c>
      <c r="M2659" t="s">
        <v>207</v>
      </c>
      <c r="N2659" t="s">
        <v>935</v>
      </c>
      <c r="O2659" t="s">
        <v>82</v>
      </c>
      <c r="P2659" t="str">
        <f>"4170065774                    "</f>
        <v xml:space="preserve">4170065774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22.36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70.959999999999994</v>
      </c>
      <c r="BM2659">
        <v>10.64</v>
      </c>
      <c r="BN2659">
        <v>81.599999999999994</v>
      </c>
      <c r="BO2659">
        <v>81.599999999999994</v>
      </c>
      <c r="BQ2659" t="s">
        <v>936</v>
      </c>
      <c r="BR2659" t="s">
        <v>97</v>
      </c>
      <c r="BS2659" s="3">
        <v>45954</v>
      </c>
      <c r="BT2659" s="4">
        <v>0.42638888888888887</v>
      </c>
      <c r="BU2659" t="s">
        <v>3172</v>
      </c>
      <c r="BV2659" t="s">
        <v>86</v>
      </c>
      <c r="BY2659">
        <v>1200</v>
      </c>
      <c r="CA2659" t="s">
        <v>2795</v>
      </c>
      <c r="CC2659" t="s">
        <v>207</v>
      </c>
      <c r="CD2659">
        <v>7441</v>
      </c>
      <c r="CE2659" t="s">
        <v>147</v>
      </c>
      <c r="CF2659" s="3">
        <v>45957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"080068695190"</f>
        <v>080068695190</v>
      </c>
      <c r="F2660" s="3">
        <v>45953</v>
      </c>
      <c r="G2660">
        <v>202607</v>
      </c>
      <c r="H2660" t="s">
        <v>79</v>
      </c>
      <c r="I2660" t="s">
        <v>80</v>
      </c>
      <c r="J2660" t="s">
        <v>91</v>
      </c>
      <c r="K2660" t="s">
        <v>78</v>
      </c>
      <c r="L2660" t="s">
        <v>168</v>
      </c>
      <c r="M2660" t="s">
        <v>169</v>
      </c>
      <c r="N2660" t="s">
        <v>737</v>
      </c>
      <c r="O2660" t="s">
        <v>95</v>
      </c>
      <c r="P2660" t="str">
        <f>"4170065821                    "</f>
        <v xml:space="preserve">4170065821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43.23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2.2999999999999998</v>
      </c>
      <c r="BJ2660">
        <v>1.9</v>
      </c>
      <c r="BK2660">
        <v>3</v>
      </c>
      <c r="BL2660">
        <v>143.08000000000001</v>
      </c>
      <c r="BM2660">
        <v>21.46</v>
      </c>
      <c r="BN2660">
        <v>164.54</v>
      </c>
      <c r="BO2660">
        <v>164.54</v>
      </c>
      <c r="BQ2660" t="s">
        <v>738</v>
      </c>
      <c r="BR2660" t="s">
        <v>97</v>
      </c>
      <c r="BS2660" s="3">
        <v>45954</v>
      </c>
      <c r="BT2660" s="4">
        <v>0.41458333333333336</v>
      </c>
      <c r="BU2660" t="s">
        <v>1153</v>
      </c>
      <c r="BV2660" t="s">
        <v>86</v>
      </c>
      <c r="BY2660">
        <v>9408.42</v>
      </c>
      <c r="CA2660">
        <v>9103185460089</v>
      </c>
      <c r="CC2660" t="s">
        <v>169</v>
      </c>
      <c r="CD2660" s="5" t="s">
        <v>173</v>
      </c>
      <c r="CE2660" t="s">
        <v>191</v>
      </c>
      <c r="CF2660" s="3">
        <v>45954</v>
      </c>
      <c r="CI2660">
        <v>1</v>
      </c>
      <c r="CJ2660">
        <v>1</v>
      </c>
      <c r="CK2660">
        <v>41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"080068695213"</f>
        <v>080068695213</v>
      </c>
      <c r="F2661" s="3">
        <v>45953</v>
      </c>
      <c r="G2661">
        <v>202607</v>
      </c>
      <c r="H2661" t="s">
        <v>79</v>
      </c>
      <c r="I2661" t="s">
        <v>80</v>
      </c>
      <c r="J2661" t="s">
        <v>91</v>
      </c>
      <c r="K2661" t="s">
        <v>78</v>
      </c>
      <c r="L2661" t="s">
        <v>108</v>
      </c>
      <c r="M2661" t="s">
        <v>109</v>
      </c>
      <c r="N2661" t="s">
        <v>556</v>
      </c>
      <c r="O2661" t="s">
        <v>82</v>
      </c>
      <c r="P2661" t="str">
        <f>"4170065716                    "</f>
        <v xml:space="preserve">4170065716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22.36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0.7</v>
      </c>
      <c r="BK2661">
        <v>1</v>
      </c>
      <c r="BL2661">
        <v>70.959999999999994</v>
      </c>
      <c r="BM2661">
        <v>10.64</v>
      </c>
      <c r="BN2661">
        <v>81.599999999999994</v>
      </c>
      <c r="BO2661">
        <v>81.599999999999994</v>
      </c>
      <c r="BQ2661" t="s">
        <v>557</v>
      </c>
      <c r="BR2661" t="s">
        <v>97</v>
      </c>
      <c r="BS2661" s="3">
        <v>45954</v>
      </c>
      <c r="BT2661" s="4">
        <v>0.41944444444444445</v>
      </c>
      <c r="BU2661" t="s">
        <v>3173</v>
      </c>
      <c r="BV2661" t="s">
        <v>86</v>
      </c>
      <c r="BY2661">
        <v>3306</v>
      </c>
      <c r="CA2661" t="s">
        <v>559</v>
      </c>
      <c r="CC2661" t="s">
        <v>109</v>
      </c>
      <c r="CD2661">
        <v>6001</v>
      </c>
      <c r="CE2661" t="s">
        <v>191</v>
      </c>
      <c r="CF2661" s="3">
        <v>45954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"080068695238"</f>
        <v>080068695238</v>
      </c>
      <c r="F2662" s="3">
        <v>45953</v>
      </c>
      <c r="G2662">
        <v>202607</v>
      </c>
      <c r="H2662" t="s">
        <v>79</v>
      </c>
      <c r="I2662" t="s">
        <v>80</v>
      </c>
      <c r="J2662" t="s">
        <v>91</v>
      </c>
      <c r="K2662" t="s">
        <v>78</v>
      </c>
      <c r="L2662" t="s">
        <v>79</v>
      </c>
      <c r="M2662" t="s">
        <v>80</v>
      </c>
      <c r="N2662" t="s">
        <v>1040</v>
      </c>
      <c r="O2662" t="s">
        <v>82</v>
      </c>
      <c r="P2662" t="str">
        <f>"4170065812                    "</f>
        <v xml:space="preserve">4170065812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17.46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0.9</v>
      </c>
      <c r="BK2662">
        <v>1</v>
      </c>
      <c r="BL2662">
        <v>55.42</v>
      </c>
      <c r="BM2662">
        <v>8.31</v>
      </c>
      <c r="BN2662">
        <v>63.73</v>
      </c>
      <c r="BO2662">
        <v>63.73</v>
      </c>
      <c r="BQ2662" t="s">
        <v>1041</v>
      </c>
      <c r="BR2662" t="s">
        <v>97</v>
      </c>
      <c r="BS2662" s="3">
        <v>45954</v>
      </c>
      <c r="BT2662" s="4">
        <v>0.2986111111111111</v>
      </c>
      <c r="BU2662" t="s">
        <v>1662</v>
      </c>
      <c r="BV2662" t="s">
        <v>86</v>
      </c>
      <c r="BY2662">
        <v>4275</v>
      </c>
      <c r="CA2662" t="s">
        <v>166</v>
      </c>
      <c r="CC2662" t="s">
        <v>80</v>
      </c>
      <c r="CD2662">
        <v>1600</v>
      </c>
      <c r="CE2662" t="s">
        <v>191</v>
      </c>
      <c r="CF2662" s="3">
        <v>45954</v>
      </c>
      <c r="CI2662">
        <v>1</v>
      </c>
      <c r="CJ2662">
        <v>1</v>
      </c>
      <c r="CK2662">
        <v>22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"080068695266"</f>
        <v>080068695266</v>
      </c>
      <c r="F2663" s="3">
        <v>45953</v>
      </c>
      <c r="G2663">
        <v>202607</v>
      </c>
      <c r="H2663" t="s">
        <v>79</v>
      </c>
      <c r="I2663" t="s">
        <v>80</v>
      </c>
      <c r="J2663" t="s">
        <v>91</v>
      </c>
      <c r="K2663" t="s">
        <v>78</v>
      </c>
      <c r="L2663" t="s">
        <v>79</v>
      </c>
      <c r="M2663" t="s">
        <v>80</v>
      </c>
      <c r="N2663" t="s">
        <v>357</v>
      </c>
      <c r="O2663" t="s">
        <v>82</v>
      </c>
      <c r="P2663" t="str">
        <f>"4170065690                    "</f>
        <v xml:space="preserve">4170065690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17.46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1.1000000000000001</v>
      </c>
      <c r="BK2663">
        <v>2</v>
      </c>
      <c r="BL2663">
        <v>55.42</v>
      </c>
      <c r="BM2663">
        <v>8.31</v>
      </c>
      <c r="BN2663">
        <v>63.73</v>
      </c>
      <c r="BO2663">
        <v>63.73</v>
      </c>
      <c r="BQ2663" t="s">
        <v>358</v>
      </c>
      <c r="BR2663" t="s">
        <v>97</v>
      </c>
      <c r="BS2663" s="3">
        <v>45954</v>
      </c>
      <c r="BT2663" s="4">
        <v>0.42083333333333334</v>
      </c>
      <c r="BU2663" t="s">
        <v>1254</v>
      </c>
      <c r="BV2663" t="s">
        <v>86</v>
      </c>
      <c r="BY2663">
        <v>5510</v>
      </c>
      <c r="CA2663" t="s">
        <v>3158</v>
      </c>
      <c r="CC2663" t="s">
        <v>80</v>
      </c>
      <c r="CD2663">
        <v>1645</v>
      </c>
      <c r="CE2663" t="s">
        <v>191</v>
      </c>
      <c r="CF2663" s="3">
        <v>45955</v>
      </c>
      <c r="CI2663">
        <v>1</v>
      </c>
      <c r="CJ2663">
        <v>1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"080068695295"</f>
        <v>080068695295</v>
      </c>
      <c r="F2664" s="3">
        <v>45953</v>
      </c>
      <c r="G2664">
        <v>202607</v>
      </c>
      <c r="H2664" t="s">
        <v>79</v>
      </c>
      <c r="I2664" t="s">
        <v>80</v>
      </c>
      <c r="J2664" t="s">
        <v>91</v>
      </c>
      <c r="K2664" t="s">
        <v>78</v>
      </c>
      <c r="L2664" t="s">
        <v>453</v>
      </c>
      <c r="M2664" t="s">
        <v>454</v>
      </c>
      <c r="N2664" t="s">
        <v>1223</v>
      </c>
      <c r="O2664" t="s">
        <v>82</v>
      </c>
      <c r="P2664" t="str">
        <f>"4170065684                    "</f>
        <v xml:space="preserve">4170065684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22.36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</v>
      </c>
      <c r="BJ2664">
        <v>1.8</v>
      </c>
      <c r="BK2664">
        <v>2</v>
      </c>
      <c r="BL2664">
        <v>70.959999999999994</v>
      </c>
      <c r="BM2664">
        <v>10.64</v>
      </c>
      <c r="BN2664">
        <v>81.599999999999994</v>
      </c>
      <c r="BO2664">
        <v>81.599999999999994</v>
      </c>
      <c r="BQ2664" t="s">
        <v>1224</v>
      </c>
      <c r="BR2664" t="s">
        <v>97</v>
      </c>
      <c r="BS2664" s="3">
        <v>45954</v>
      </c>
      <c r="BT2664" s="4">
        <v>0.38472222222222224</v>
      </c>
      <c r="BU2664" t="s">
        <v>2675</v>
      </c>
      <c r="BV2664" t="s">
        <v>86</v>
      </c>
      <c r="BY2664">
        <v>8816</v>
      </c>
      <c r="CA2664" t="s">
        <v>742</v>
      </c>
      <c r="CC2664" t="s">
        <v>454</v>
      </c>
      <c r="CD2664">
        <v>3610</v>
      </c>
      <c r="CE2664" t="s">
        <v>191</v>
      </c>
      <c r="CF2664" s="3">
        <v>45954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"080068695341"</f>
        <v>080068695341</v>
      </c>
      <c r="F2665" s="3">
        <v>45953</v>
      </c>
      <c r="G2665">
        <v>202607</v>
      </c>
      <c r="H2665" t="s">
        <v>79</v>
      </c>
      <c r="I2665" t="s">
        <v>80</v>
      </c>
      <c r="J2665" t="s">
        <v>91</v>
      </c>
      <c r="K2665" t="s">
        <v>78</v>
      </c>
      <c r="L2665" t="s">
        <v>853</v>
      </c>
      <c r="M2665" t="s">
        <v>854</v>
      </c>
      <c r="N2665" t="s">
        <v>1963</v>
      </c>
      <c r="O2665" t="s">
        <v>82</v>
      </c>
      <c r="P2665" t="str">
        <f>"4170065728                    "</f>
        <v xml:space="preserve">4170065728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100.54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9</v>
      </c>
      <c r="BJ2665">
        <v>3.6</v>
      </c>
      <c r="BK2665">
        <v>9</v>
      </c>
      <c r="BL2665">
        <v>319.10000000000002</v>
      </c>
      <c r="BM2665">
        <v>47.87</v>
      </c>
      <c r="BN2665">
        <v>366.97</v>
      </c>
      <c r="BO2665">
        <v>366.97</v>
      </c>
      <c r="BQ2665" t="s">
        <v>1964</v>
      </c>
      <c r="BR2665" t="s">
        <v>97</v>
      </c>
      <c r="BS2665" s="3">
        <v>45954</v>
      </c>
      <c r="BT2665" s="4">
        <v>0.43402777777777779</v>
      </c>
      <c r="BU2665" t="s">
        <v>1965</v>
      </c>
      <c r="BV2665" t="s">
        <v>86</v>
      </c>
      <c r="BY2665">
        <v>18096</v>
      </c>
      <c r="CA2665" t="s">
        <v>859</v>
      </c>
      <c r="CC2665" t="s">
        <v>854</v>
      </c>
      <c r="CD2665">
        <v>4120</v>
      </c>
      <c r="CE2665" t="s">
        <v>191</v>
      </c>
      <c r="CF2665" s="3">
        <v>45954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"080068695384"</f>
        <v>080068695384</v>
      </c>
      <c r="F2666" s="3">
        <v>45953</v>
      </c>
      <c r="G2666">
        <v>202607</v>
      </c>
      <c r="H2666" t="s">
        <v>79</v>
      </c>
      <c r="I2666" t="s">
        <v>80</v>
      </c>
      <c r="J2666" t="s">
        <v>91</v>
      </c>
      <c r="K2666" t="s">
        <v>78</v>
      </c>
      <c r="L2666" t="s">
        <v>114</v>
      </c>
      <c r="M2666" t="s">
        <v>115</v>
      </c>
      <c r="N2666" t="s">
        <v>881</v>
      </c>
      <c r="O2666" t="s">
        <v>82</v>
      </c>
      <c r="P2666" t="str">
        <f>"4170065740                    "</f>
        <v xml:space="preserve">4170065740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50.28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2</v>
      </c>
      <c r="BJ2666">
        <v>4.0999999999999996</v>
      </c>
      <c r="BK2666">
        <v>4.5</v>
      </c>
      <c r="BL2666">
        <v>159.58000000000001</v>
      </c>
      <c r="BM2666">
        <v>23.94</v>
      </c>
      <c r="BN2666">
        <v>183.52</v>
      </c>
      <c r="BO2666">
        <v>183.52</v>
      </c>
      <c r="BQ2666" t="s">
        <v>882</v>
      </c>
      <c r="BR2666" t="s">
        <v>97</v>
      </c>
      <c r="BS2666" s="3">
        <v>45954</v>
      </c>
      <c r="BT2666" s="4">
        <v>0.48472222222222222</v>
      </c>
      <c r="BU2666" t="s">
        <v>2945</v>
      </c>
      <c r="BV2666" t="s">
        <v>90</v>
      </c>
      <c r="BY2666">
        <v>20358</v>
      </c>
      <c r="CA2666" t="s">
        <v>749</v>
      </c>
      <c r="CC2666" t="s">
        <v>115</v>
      </c>
      <c r="CD2666">
        <v>5201</v>
      </c>
      <c r="CE2666" t="s">
        <v>191</v>
      </c>
      <c r="CF2666" s="3">
        <v>45956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"080068695414"</f>
        <v>080068695414</v>
      </c>
      <c r="F2667" s="3">
        <v>45953</v>
      </c>
      <c r="G2667">
        <v>202607</v>
      </c>
      <c r="H2667" t="s">
        <v>79</v>
      </c>
      <c r="I2667" t="s">
        <v>80</v>
      </c>
      <c r="J2667" t="s">
        <v>91</v>
      </c>
      <c r="K2667" t="s">
        <v>78</v>
      </c>
      <c r="L2667" t="s">
        <v>108</v>
      </c>
      <c r="M2667" t="s">
        <v>109</v>
      </c>
      <c r="N2667" t="s">
        <v>229</v>
      </c>
      <c r="O2667" t="s">
        <v>82</v>
      </c>
      <c r="P2667" t="str">
        <f>"4170065630                    "</f>
        <v xml:space="preserve">4170065630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39.11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3</v>
      </c>
      <c r="BJ2667">
        <v>3.2</v>
      </c>
      <c r="BK2667">
        <v>3.5</v>
      </c>
      <c r="BL2667">
        <v>124.13</v>
      </c>
      <c r="BM2667">
        <v>18.62</v>
      </c>
      <c r="BN2667">
        <v>142.75</v>
      </c>
      <c r="BO2667">
        <v>142.75</v>
      </c>
      <c r="BQ2667" t="s">
        <v>230</v>
      </c>
      <c r="BR2667" t="s">
        <v>97</v>
      </c>
      <c r="BS2667" s="3">
        <v>45954</v>
      </c>
      <c r="BT2667" s="4">
        <v>0.41319444444444442</v>
      </c>
      <c r="BU2667" t="s">
        <v>3160</v>
      </c>
      <c r="BV2667" t="s">
        <v>86</v>
      </c>
      <c r="BY2667">
        <v>16128</v>
      </c>
      <c r="CA2667" t="s">
        <v>1145</v>
      </c>
      <c r="CC2667" t="s">
        <v>109</v>
      </c>
      <c r="CD2667">
        <v>6001</v>
      </c>
      <c r="CE2667" t="s">
        <v>191</v>
      </c>
      <c r="CF2667" s="3">
        <v>45954</v>
      </c>
      <c r="CI2667">
        <v>1</v>
      </c>
      <c r="CJ2667">
        <v>1</v>
      </c>
      <c r="CK2667">
        <v>21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"080068695419"</f>
        <v>080068695419</v>
      </c>
      <c r="F2668" s="3">
        <v>45953</v>
      </c>
      <c r="G2668">
        <v>202607</v>
      </c>
      <c r="H2668" t="s">
        <v>79</v>
      </c>
      <c r="I2668" t="s">
        <v>80</v>
      </c>
      <c r="J2668" t="s">
        <v>91</v>
      </c>
      <c r="K2668" t="s">
        <v>78</v>
      </c>
      <c r="L2668" t="s">
        <v>92</v>
      </c>
      <c r="M2668" t="s">
        <v>93</v>
      </c>
      <c r="N2668" t="s">
        <v>601</v>
      </c>
      <c r="O2668" t="s">
        <v>82</v>
      </c>
      <c r="P2668" t="str">
        <f>"4170065755                    "</f>
        <v xml:space="preserve">4170065755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22.36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70.959999999999994</v>
      </c>
      <c r="BM2668">
        <v>10.64</v>
      </c>
      <c r="BN2668">
        <v>81.599999999999994</v>
      </c>
      <c r="BO2668">
        <v>81.599999999999994</v>
      </c>
      <c r="BQ2668" t="s">
        <v>602</v>
      </c>
      <c r="BR2668" t="s">
        <v>97</v>
      </c>
      <c r="BS2668" s="3">
        <v>45954</v>
      </c>
      <c r="BT2668" s="4">
        <v>0.4513888888888889</v>
      </c>
      <c r="BU2668" t="s">
        <v>852</v>
      </c>
      <c r="BV2668" t="s">
        <v>86</v>
      </c>
      <c r="BY2668">
        <v>1200</v>
      </c>
      <c r="CC2668" t="s">
        <v>93</v>
      </c>
      <c r="CD2668">
        <v>3212</v>
      </c>
      <c r="CE2668" t="s">
        <v>147</v>
      </c>
      <c r="CF2668" s="3">
        <v>45955</v>
      </c>
      <c r="CI2668">
        <v>2</v>
      </c>
      <c r="CJ2668">
        <v>1</v>
      </c>
      <c r="CK2668">
        <v>21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"080068695456"</f>
        <v>080068695456</v>
      </c>
      <c r="F2669" s="3">
        <v>45953</v>
      </c>
      <c r="G2669">
        <v>202607</v>
      </c>
      <c r="H2669" t="s">
        <v>79</v>
      </c>
      <c r="I2669" t="s">
        <v>80</v>
      </c>
      <c r="J2669" t="s">
        <v>91</v>
      </c>
      <c r="K2669" t="s">
        <v>78</v>
      </c>
      <c r="L2669" t="s">
        <v>265</v>
      </c>
      <c r="M2669" t="s">
        <v>266</v>
      </c>
      <c r="N2669" t="s">
        <v>587</v>
      </c>
      <c r="O2669" t="s">
        <v>82</v>
      </c>
      <c r="P2669" t="str">
        <f>"4170065837                    "</f>
        <v xml:space="preserve">4170065837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22.36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70.959999999999994</v>
      </c>
      <c r="BM2669">
        <v>10.64</v>
      </c>
      <c r="BN2669">
        <v>81.599999999999994</v>
      </c>
      <c r="BO2669">
        <v>81.599999999999994</v>
      </c>
      <c r="BQ2669" t="s">
        <v>588</v>
      </c>
      <c r="BR2669" t="s">
        <v>97</v>
      </c>
      <c r="BS2669" s="3">
        <v>45954</v>
      </c>
      <c r="BT2669" s="4">
        <v>0.38194444444444442</v>
      </c>
      <c r="BU2669" t="s">
        <v>1879</v>
      </c>
      <c r="BV2669" t="s">
        <v>86</v>
      </c>
      <c r="BY2669">
        <v>1200</v>
      </c>
      <c r="CA2669" t="s">
        <v>818</v>
      </c>
      <c r="CC2669" t="s">
        <v>266</v>
      </c>
      <c r="CD2669">
        <v>6229</v>
      </c>
      <c r="CE2669" t="s">
        <v>147</v>
      </c>
      <c r="CF2669" s="3">
        <v>45954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"080068695469"</f>
        <v>080068695469</v>
      </c>
      <c r="F2670" s="3">
        <v>45953</v>
      </c>
      <c r="G2670">
        <v>202607</v>
      </c>
      <c r="H2670" t="s">
        <v>79</v>
      </c>
      <c r="I2670" t="s">
        <v>80</v>
      </c>
      <c r="J2670" t="s">
        <v>91</v>
      </c>
      <c r="K2670" t="s">
        <v>78</v>
      </c>
      <c r="L2670" t="s">
        <v>206</v>
      </c>
      <c r="M2670" t="s">
        <v>207</v>
      </c>
      <c r="N2670" t="s">
        <v>436</v>
      </c>
      <c r="O2670" t="s">
        <v>95</v>
      </c>
      <c r="P2670" t="str">
        <f>"4170065838                    "</f>
        <v xml:space="preserve">4170065838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53.94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9</v>
      </c>
      <c r="BJ2670">
        <v>20.2</v>
      </c>
      <c r="BK2670">
        <v>21</v>
      </c>
      <c r="BL2670">
        <v>177.07</v>
      </c>
      <c r="BM2670">
        <v>26.56</v>
      </c>
      <c r="BN2670">
        <v>203.63</v>
      </c>
      <c r="BO2670">
        <v>203.63</v>
      </c>
      <c r="BQ2670" t="s">
        <v>437</v>
      </c>
      <c r="BR2670" t="s">
        <v>97</v>
      </c>
      <c r="BS2670" s="3">
        <v>45957</v>
      </c>
      <c r="BT2670" s="4">
        <v>0.48055555555555557</v>
      </c>
      <c r="BU2670" t="s">
        <v>3174</v>
      </c>
      <c r="BV2670" t="s">
        <v>86</v>
      </c>
      <c r="BY2670">
        <v>100800</v>
      </c>
      <c r="CA2670" t="s">
        <v>1888</v>
      </c>
      <c r="CC2670" t="s">
        <v>207</v>
      </c>
      <c r="CD2670">
        <v>7800</v>
      </c>
      <c r="CE2670" t="s">
        <v>107</v>
      </c>
      <c r="CF2670" s="3">
        <v>45958</v>
      </c>
      <c r="CI2670">
        <v>3</v>
      </c>
      <c r="CJ2670">
        <v>2</v>
      </c>
      <c r="CK2670">
        <v>41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"080068695476"</f>
        <v>080068695476</v>
      </c>
      <c r="F2671" s="3">
        <v>45953</v>
      </c>
      <c r="G2671">
        <v>202607</v>
      </c>
      <c r="H2671" t="s">
        <v>79</v>
      </c>
      <c r="I2671" t="s">
        <v>80</v>
      </c>
      <c r="J2671" t="s">
        <v>91</v>
      </c>
      <c r="K2671" t="s">
        <v>78</v>
      </c>
      <c r="L2671" t="s">
        <v>148</v>
      </c>
      <c r="M2671" t="s">
        <v>149</v>
      </c>
      <c r="N2671" t="s">
        <v>952</v>
      </c>
      <c r="O2671" t="s">
        <v>82</v>
      </c>
      <c r="P2671" t="str">
        <f>"4170065633                    "</f>
        <v xml:space="preserve">4170065633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17.46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55.42</v>
      </c>
      <c r="BM2671">
        <v>8.31</v>
      </c>
      <c r="BN2671">
        <v>63.73</v>
      </c>
      <c r="BO2671">
        <v>63.73</v>
      </c>
      <c r="BQ2671" t="s">
        <v>953</v>
      </c>
      <c r="BR2671" t="s">
        <v>97</v>
      </c>
      <c r="BS2671" s="3">
        <v>45954</v>
      </c>
      <c r="BT2671" s="4">
        <v>0.37013888888888891</v>
      </c>
      <c r="BU2671" t="s">
        <v>1702</v>
      </c>
      <c r="BV2671" t="s">
        <v>86</v>
      </c>
      <c r="BY2671">
        <v>1200</v>
      </c>
      <c r="CA2671" t="s">
        <v>1217</v>
      </c>
      <c r="CC2671" t="s">
        <v>149</v>
      </c>
      <c r="CD2671">
        <v>2091</v>
      </c>
      <c r="CE2671" t="s">
        <v>3175</v>
      </c>
      <c r="CF2671" s="3">
        <v>45955</v>
      </c>
      <c r="CI2671">
        <v>1</v>
      </c>
      <c r="CJ2671">
        <v>1</v>
      </c>
      <c r="CK2671">
        <v>22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"080068695491"</f>
        <v>080068695491</v>
      </c>
      <c r="F2672" s="3">
        <v>45953</v>
      </c>
      <c r="G2672">
        <v>202607</v>
      </c>
      <c r="H2672" t="s">
        <v>79</v>
      </c>
      <c r="I2672" t="s">
        <v>80</v>
      </c>
      <c r="J2672" t="s">
        <v>91</v>
      </c>
      <c r="K2672" t="s">
        <v>78</v>
      </c>
      <c r="L2672" t="s">
        <v>218</v>
      </c>
      <c r="M2672" t="s">
        <v>219</v>
      </c>
      <c r="N2672" t="s">
        <v>520</v>
      </c>
      <c r="O2672" t="s">
        <v>82</v>
      </c>
      <c r="P2672" t="str">
        <f>"4170065834                    "</f>
        <v xml:space="preserve">4170065834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17.46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55.42</v>
      </c>
      <c r="BM2672">
        <v>8.31</v>
      </c>
      <c r="BN2672">
        <v>63.73</v>
      </c>
      <c r="BO2672">
        <v>63.73</v>
      </c>
      <c r="BQ2672" t="s">
        <v>1805</v>
      </c>
      <c r="BR2672" t="s">
        <v>97</v>
      </c>
      <c r="BS2672" s="3">
        <v>45954</v>
      </c>
      <c r="BT2672" s="4">
        <v>0.45347222222222222</v>
      </c>
      <c r="BU2672" t="s">
        <v>862</v>
      </c>
      <c r="BV2672" t="s">
        <v>86</v>
      </c>
      <c r="BY2672">
        <v>1200</v>
      </c>
      <c r="CA2672" t="s">
        <v>1434</v>
      </c>
      <c r="CC2672" t="s">
        <v>219</v>
      </c>
      <c r="CD2672">
        <v>1559</v>
      </c>
      <c r="CE2672" t="s">
        <v>147</v>
      </c>
      <c r="CF2672" s="3">
        <v>45954</v>
      </c>
      <c r="CI2672">
        <v>1</v>
      </c>
      <c r="CJ2672">
        <v>1</v>
      </c>
      <c r="CK2672">
        <v>22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"080068695505"</f>
        <v>080068695505</v>
      </c>
      <c r="F2673" s="3">
        <v>45953</v>
      </c>
      <c r="G2673">
        <v>202607</v>
      </c>
      <c r="H2673" t="s">
        <v>79</v>
      </c>
      <c r="I2673" t="s">
        <v>80</v>
      </c>
      <c r="J2673" t="s">
        <v>91</v>
      </c>
      <c r="K2673" t="s">
        <v>78</v>
      </c>
      <c r="L2673" t="s">
        <v>265</v>
      </c>
      <c r="M2673" t="s">
        <v>266</v>
      </c>
      <c r="N2673" t="s">
        <v>587</v>
      </c>
      <c r="O2673" t="s">
        <v>82</v>
      </c>
      <c r="P2673" t="str">
        <f>"4170065806                    "</f>
        <v xml:space="preserve">4170065806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22.36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70.959999999999994</v>
      </c>
      <c r="BM2673">
        <v>10.64</v>
      </c>
      <c r="BN2673">
        <v>81.599999999999994</v>
      </c>
      <c r="BO2673">
        <v>81.599999999999994</v>
      </c>
      <c r="BQ2673" t="s">
        <v>588</v>
      </c>
      <c r="BR2673" t="s">
        <v>97</v>
      </c>
      <c r="BS2673" s="3">
        <v>45954</v>
      </c>
      <c r="BT2673" s="4">
        <v>0.38263888888888886</v>
      </c>
      <c r="BU2673" t="s">
        <v>1879</v>
      </c>
      <c r="BV2673" t="s">
        <v>86</v>
      </c>
      <c r="BY2673">
        <v>1200</v>
      </c>
      <c r="CA2673" t="s">
        <v>818</v>
      </c>
      <c r="CC2673" t="s">
        <v>266</v>
      </c>
      <c r="CD2673">
        <v>6229</v>
      </c>
      <c r="CE2673" t="s">
        <v>147</v>
      </c>
      <c r="CF2673" s="3">
        <v>45954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"080068695523"</f>
        <v>080068695523</v>
      </c>
      <c r="F2674" s="3">
        <v>45953</v>
      </c>
      <c r="G2674">
        <v>202607</v>
      </c>
      <c r="H2674" t="s">
        <v>79</v>
      </c>
      <c r="I2674" t="s">
        <v>80</v>
      </c>
      <c r="J2674" t="s">
        <v>91</v>
      </c>
      <c r="K2674" t="s">
        <v>78</v>
      </c>
      <c r="L2674" t="s">
        <v>121</v>
      </c>
      <c r="M2674" t="s">
        <v>122</v>
      </c>
      <c r="N2674" t="s">
        <v>1557</v>
      </c>
      <c r="O2674" t="s">
        <v>82</v>
      </c>
      <c r="P2674" t="str">
        <f>"4170065748                    "</f>
        <v xml:space="preserve">4170065748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22.36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70.959999999999994</v>
      </c>
      <c r="BM2674">
        <v>10.64</v>
      </c>
      <c r="BN2674">
        <v>81.599999999999994</v>
      </c>
      <c r="BO2674">
        <v>81.599999999999994</v>
      </c>
      <c r="BQ2674" t="s">
        <v>1558</v>
      </c>
      <c r="BR2674" t="s">
        <v>97</v>
      </c>
      <c r="BS2674" s="3">
        <v>45954</v>
      </c>
      <c r="BT2674" s="4">
        <v>0.43680555555555556</v>
      </c>
      <c r="BU2674" t="s">
        <v>3176</v>
      </c>
      <c r="BV2674" t="s">
        <v>86</v>
      </c>
      <c r="BY2674">
        <v>1200</v>
      </c>
      <c r="CA2674" t="s">
        <v>1114</v>
      </c>
      <c r="CC2674" t="s">
        <v>122</v>
      </c>
      <c r="CD2674">
        <v>4001</v>
      </c>
      <c r="CE2674" t="s">
        <v>147</v>
      </c>
      <c r="CF2674" s="3">
        <v>45954</v>
      </c>
      <c r="CI2674">
        <v>1</v>
      </c>
      <c r="CJ2674">
        <v>1</v>
      </c>
      <c r="CK2674">
        <v>21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"080068695539"</f>
        <v>080068695539</v>
      </c>
      <c r="F2675" s="3">
        <v>45953</v>
      </c>
      <c r="G2675">
        <v>202607</v>
      </c>
      <c r="H2675" t="s">
        <v>79</v>
      </c>
      <c r="I2675" t="s">
        <v>80</v>
      </c>
      <c r="J2675" t="s">
        <v>91</v>
      </c>
      <c r="K2675" t="s">
        <v>78</v>
      </c>
      <c r="L2675" t="s">
        <v>605</v>
      </c>
      <c r="M2675" t="s">
        <v>606</v>
      </c>
      <c r="N2675" t="s">
        <v>976</v>
      </c>
      <c r="O2675" t="s">
        <v>82</v>
      </c>
      <c r="P2675" t="str">
        <f>"4170065794                    "</f>
        <v xml:space="preserve">4170065794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43.31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137.47</v>
      </c>
      <c r="BM2675">
        <v>20.62</v>
      </c>
      <c r="BN2675">
        <v>158.09</v>
      </c>
      <c r="BO2675">
        <v>158.09</v>
      </c>
      <c r="BQ2675" t="s">
        <v>977</v>
      </c>
      <c r="BR2675" t="s">
        <v>97</v>
      </c>
      <c r="BS2675" s="3">
        <v>45954</v>
      </c>
      <c r="BT2675" s="4">
        <v>0.43402777777777779</v>
      </c>
      <c r="BU2675" t="s">
        <v>3077</v>
      </c>
      <c r="BV2675" t="s">
        <v>86</v>
      </c>
      <c r="BY2675">
        <v>1200</v>
      </c>
      <c r="CA2675" t="s">
        <v>1143</v>
      </c>
      <c r="CC2675" t="s">
        <v>606</v>
      </c>
      <c r="CD2675">
        <v>1947</v>
      </c>
      <c r="CE2675" t="s">
        <v>147</v>
      </c>
      <c r="CF2675" s="3">
        <v>45957</v>
      </c>
      <c r="CI2675">
        <v>1</v>
      </c>
      <c r="CJ2675">
        <v>1</v>
      </c>
      <c r="CK2675">
        <v>23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"080068695555"</f>
        <v>080068695555</v>
      </c>
      <c r="F2676" s="3">
        <v>45953</v>
      </c>
      <c r="G2676">
        <v>202607</v>
      </c>
      <c r="H2676" t="s">
        <v>79</v>
      </c>
      <c r="I2676" t="s">
        <v>80</v>
      </c>
      <c r="J2676" t="s">
        <v>91</v>
      </c>
      <c r="K2676" t="s">
        <v>78</v>
      </c>
      <c r="L2676" t="s">
        <v>333</v>
      </c>
      <c r="M2676" t="s">
        <v>334</v>
      </c>
      <c r="N2676" t="s">
        <v>794</v>
      </c>
      <c r="O2676" t="s">
        <v>82</v>
      </c>
      <c r="P2676" t="str">
        <f>"4170065623                    "</f>
        <v xml:space="preserve">4170065623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22.36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70.959999999999994</v>
      </c>
      <c r="BM2676">
        <v>10.64</v>
      </c>
      <c r="BN2676">
        <v>81.599999999999994</v>
      </c>
      <c r="BO2676">
        <v>81.599999999999994</v>
      </c>
      <c r="BQ2676" t="s">
        <v>795</v>
      </c>
      <c r="BR2676" t="s">
        <v>97</v>
      </c>
      <c r="BS2676" s="3">
        <v>45954</v>
      </c>
      <c r="BT2676" s="4">
        <v>0.43194444444444446</v>
      </c>
      <c r="BU2676" t="s">
        <v>796</v>
      </c>
      <c r="BV2676" t="s">
        <v>86</v>
      </c>
      <c r="BY2676">
        <v>1200</v>
      </c>
      <c r="CA2676" t="s">
        <v>142</v>
      </c>
      <c r="CC2676" t="s">
        <v>334</v>
      </c>
      <c r="CD2676">
        <v>6220</v>
      </c>
      <c r="CE2676" t="s">
        <v>147</v>
      </c>
      <c r="CF2676" s="3">
        <v>45954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"080068695569"</f>
        <v>080068695569</v>
      </c>
      <c r="F2677" s="3">
        <v>45953</v>
      </c>
      <c r="G2677">
        <v>202607</v>
      </c>
      <c r="H2677" t="s">
        <v>79</v>
      </c>
      <c r="I2677" t="s">
        <v>80</v>
      </c>
      <c r="J2677" t="s">
        <v>91</v>
      </c>
      <c r="K2677" t="s">
        <v>78</v>
      </c>
      <c r="L2677" t="s">
        <v>271</v>
      </c>
      <c r="M2677" t="s">
        <v>272</v>
      </c>
      <c r="N2677" t="s">
        <v>1998</v>
      </c>
      <c r="O2677" t="s">
        <v>82</v>
      </c>
      <c r="P2677" t="str">
        <f>"4170065772                    "</f>
        <v xml:space="preserve">4170065772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17.46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55.42</v>
      </c>
      <c r="BM2677">
        <v>8.31</v>
      </c>
      <c r="BN2677">
        <v>63.73</v>
      </c>
      <c r="BO2677">
        <v>63.73</v>
      </c>
      <c r="BQ2677" t="s">
        <v>1999</v>
      </c>
      <c r="BR2677" t="s">
        <v>97</v>
      </c>
      <c r="BS2677" s="3">
        <v>45954</v>
      </c>
      <c r="BT2677" s="4">
        <v>0.375</v>
      </c>
      <c r="BU2677" t="s">
        <v>3177</v>
      </c>
      <c r="BV2677" t="s">
        <v>86</v>
      </c>
      <c r="BY2677">
        <v>1200</v>
      </c>
      <c r="CA2677" t="s">
        <v>661</v>
      </c>
      <c r="CC2677" t="s">
        <v>272</v>
      </c>
      <c r="CD2677">
        <v>1428</v>
      </c>
      <c r="CE2677" t="s">
        <v>147</v>
      </c>
      <c r="CF2677" s="3">
        <v>45955</v>
      </c>
      <c r="CI2677">
        <v>1</v>
      </c>
      <c r="CJ2677">
        <v>1</v>
      </c>
      <c r="CK2677">
        <v>22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"080068695587"</f>
        <v>080068695587</v>
      </c>
      <c r="F2678" s="3">
        <v>45953</v>
      </c>
      <c r="G2678">
        <v>202607</v>
      </c>
      <c r="H2678" t="s">
        <v>79</v>
      </c>
      <c r="I2678" t="s">
        <v>80</v>
      </c>
      <c r="J2678" t="s">
        <v>91</v>
      </c>
      <c r="K2678" t="s">
        <v>78</v>
      </c>
      <c r="L2678" t="s">
        <v>121</v>
      </c>
      <c r="M2678" t="s">
        <v>122</v>
      </c>
      <c r="N2678" t="s">
        <v>123</v>
      </c>
      <c r="O2678" t="s">
        <v>82</v>
      </c>
      <c r="P2678" t="str">
        <f>"4170065830                    "</f>
        <v xml:space="preserve">4170065830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22.36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70.959999999999994</v>
      </c>
      <c r="BM2678">
        <v>10.64</v>
      </c>
      <c r="BN2678">
        <v>81.599999999999994</v>
      </c>
      <c r="BO2678">
        <v>81.599999999999994</v>
      </c>
      <c r="BQ2678" t="s">
        <v>124</v>
      </c>
      <c r="BR2678" t="s">
        <v>97</v>
      </c>
      <c r="BS2678" s="3">
        <v>45954</v>
      </c>
      <c r="BT2678" s="4">
        <v>0.3527777777777778</v>
      </c>
      <c r="BU2678" t="s">
        <v>3178</v>
      </c>
      <c r="BV2678" t="s">
        <v>86</v>
      </c>
      <c r="BY2678">
        <v>1200</v>
      </c>
      <c r="CA2678" t="s">
        <v>126</v>
      </c>
      <c r="CC2678" t="s">
        <v>122</v>
      </c>
      <c r="CD2678">
        <v>4000</v>
      </c>
      <c r="CE2678" t="s">
        <v>147</v>
      </c>
      <c r="CF2678" s="3">
        <v>45954</v>
      </c>
      <c r="CI2678">
        <v>1</v>
      </c>
      <c r="CJ2678">
        <v>1</v>
      </c>
      <c r="CK2678">
        <v>21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"080068695601"</f>
        <v>080068695601</v>
      </c>
      <c r="F2679" s="3">
        <v>45953</v>
      </c>
      <c r="G2679">
        <v>202607</v>
      </c>
      <c r="H2679" t="s">
        <v>79</v>
      </c>
      <c r="I2679" t="s">
        <v>80</v>
      </c>
      <c r="J2679" t="s">
        <v>91</v>
      </c>
      <c r="K2679" t="s">
        <v>78</v>
      </c>
      <c r="L2679" t="s">
        <v>79</v>
      </c>
      <c r="M2679" t="s">
        <v>80</v>
      </c>
      <c r="N2679" t="s">
        <v>2816</v>
      </c>
      <c r="O2679" t="s">
        <v>82</v>
      </c>
      <c r="P2679" t="str">
        <f>"4170065811                    "</f>
        <v xml:space="preserve">4170065811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17.46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55.42</v>
      </c>
      <c r="BM2679">
        <v>8.31</v>
      </c>
      <c r="BN2679">
        <v>63.73</v>
      </c>
      <c r="BO2679">
        <v>63.73</v>
      </c>
      <c r="BQ2679" t="s">
        <v>2817</v>
      </c>
      <c r="BR2679" t="s">
        <v>97</v>
      </c>
      <c r="BS2679" s="3">
        <v>45954</v>
      </c>
      <c r="BT2679" s="4">
        <v>0.29166666666666669</v>
      </c>
      <c r="BU2679" t="s">
        <v>1662</v>
      </c>
      <c r="BV2679" t="s">
        <v>86</v>
      </c>
      <c r="BY2679">
        <v>1200</v>
      </c>
      <c r="CA2679" t="s">
        <v>166</v>
      </c>
      <c r="CC2679" t="s">
        <v>80</v>
      </c>
      <c r="CD2679">
        <v>1600</v>
      </c>
      <c r="CE2679" t="s">
        <v>147</v>
      </c>
      <c r="CF2679" s="3">
        <v>45954</v>
      </c>
      <c r="CI2679">
        <v>1</v>
      </c>
      <c r="CJ2679">
        <v>1</v>
      </c>
      <c r="CK2679">
        <v>22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"080068695624"</f>
        <v>080068695624</v>
      </c>
      <c r="F2680" s="3">
        <v>45953</v>
      </c>
      <c r="G2680">
        <v>202607</v>
      </c>
      <c r="H2680" t="s">
        <v>79</v>
      </c>
      <c r="I2680" t="s">
        <v>80</v>
      </c>
      <c r="J2680" t="s">
        <v>91</v>
      </c>
      <c r="K2680" t="s">
        <v>78</v>
      </c>
      <c r="L2680" t="s">
        <v>1008</v>
      </c>
      <c r="M2680" t="s">
        <v>1009</v>
      </c>
      <c r="N2680" t="s">
        <v>1344</v>
      </c>
      <c r="O2680" t="s">
        <v>82</v>
      </c>
      <c r="P2680" t="str">
        <f>"4170065745                    "</f>
        <v xml:space="preserve">4170065745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31.44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16.739999999999998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116.53</v>
      </c>
      <c r="BM2680">
        <v>17.48</v>
      </c>
      <c r="BN2680">
        <v>134.01</v>
      </c>
      <c r="BO2680">
        <v>134.01</v>
      </c>
      <c r="BQ2680" t="s">
        <v>1345</v>
      </c>
      <c r="BR2680" t="s">
        <v>97</v>
      </c>
      <c r="BS2680" s="3">
        <v>45954</v>
      </c>
      <c r="BT2680" s="4">
        <v>0.30902777777777779</v>
      </c>
      <c r="BU2680" t="s">
        <v>2193</v>
      </c>
      <c r="BV2680" t="s">
        <v>86</v>
      </c>
      <c r="BY2680">
        <v>1200</v>
      </c>
      <c r="BZ2680" t="s">
        <v>30</v>
      </c>
      <c r="CA2680" t="s">
        <v>2194</v>
      </c>
      <c r="CC2680" t="s">
        <v>1009</v>
      </c>
      <c r="CD2680">
        <v>1760</v>
      </c>
      <c r="CE2680" t="s">
        <v>147</v>
      </c>
      <c r="CF2680" s="3">
        <v>45954</v>
      </c>
      <c r="CI2680">
        <v>1</v>
      </c>
      <c r="CJ2680">
        <v>1</v>
      </c>
      <c r="CK2680">
        <v>24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"080068695753"</f>
        <v>080068695753</v>
      </c>
      <c r="F2681" s="3">
        <v>45953</v>
      </c>
      <c r="G2681">
        <v>202607</v>
      </c>
      <c r="H2681" t="s">
        <v>79</v>
      </c>
      <c r="I2681" t="s">
        <v>80</v>
      </c>
      <c r="J2681" t="s">
        <v>91</v>
      </c>
      <c r="K2681" t="s">
        <v>78</v>
      </c>
      <c r="L2681" t="s">
        <v>92</v>
      </c>
      <c r="M2681" t="s">
        <v>93</v>
      </c>
      <c r="N2681" t="s">
        <v>2047</v>
      </c>
      <c r="O2681" t="s">
        <v>82</v>
      </c>
      <c r="P2681" t="str">
        <f>"4170065797                    "</f>
        <v xml:space="preserve">4170065797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22.36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70.959999999999994</v>
      </c>
      <c r="BM2681">
        <v>10.64</v>
      </c>
      <c r="BN2681">
        <v>81.599999999999994</v>
      </c>
      <c r="BO2681">
        <v>81.599999999999994</v>
      </c>
      <c r="BQ2681" t="s">
        <v>2048</v>
      </c>
      <c r="BR2681" t="s">
        <v>97</v>
      </c>
      <c r="BS2681" s="3">
        <v>45954</v>
      </c>
      <c r="BT2681" s="4">
        <v>0.44444444444444442</v>
      </c>
      <c r="BU2681" t="s">
        <v>3070</v>
      </c>
      <c r="BV2681" t="s">
        <v>86</v>
      </c>
      <c r="BY2681">
        <v>1200</v>
      </c>
      <c r="CC2681" t="s">
        <v>93</v>
      </c>
      <c r="CD2681">
        <v>3212</v>
      </c>
      <c r="CE2681" t="s">
        <v>147</v>
      </c>
      <c r="CF2681" s="3">
        <v>45955</v>
      </c>
      <c r="CI2681">
        <v>2</v>
      </c>
      <c r="CJ2681">
        <v>1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"080068695773"</f>
        <v>080068695773</v>
      </c>
      <c r="F2682" s="3">
        <v>45953</v>
      </c>
      <c r="G2682">
        <v>202607</v>
      </c>
      <c r="H2682" t="s">
        <v>79</v>
      </c>
      <c r="I2682" t="s">
        <v>80</v>
      </c>
      <c r="J2682" t="s">
        <v>91</v>
      </c>
      <c r="K2682" t="s">
        <v>78</v>
      </c>
      <c r="L2682" t="s">
        <v>121</v>
      </c>
      <c r="M2682" t="s">
        <v>122</v>
      </c>
      <c r="N2682" t="s">
        <v>123</v>
      </c>
      <c r="O2682" t="s">
        <v>82</v>
      </c>
      <c r="P2682" t="str">
        <f>"4170065854                    "</f>
        <v xml:space="preserve">4170065854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22.36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70.959999999999994</v>
      </c>
      <c r="BM2682">
        <v>10.64</v>
      </c>
      <c r="BN2682">
        <v>81.599999999999994</v>
      </c>
      <c r="BO2682">
        <v>81.599999999999994</v>
      </c>
      <c r="BQ2682" t="s">
        <v>124</v>
      </c>
      <c r="BR2682" t="s">
        <v>97</v>
      </c>
      <c r="BS2682" s="3">
        <v>45954</v>
      </c>
      <c r="BT2682" s="4">
        <v>0.3527777777777778</v>
      </c>
      <c r="BU2682" t="s">
        <v>3178</v>
      </c>
      <c r="BV2682" t="s">
        <v>86</v>
      </c>
      <c r="BY2682">
        <v>1200</v>
      </c>
      <c r="CA2682" t="s">
        <v>126</v>
      </c>
      <c r="CC2682" t="s">
        <v>122</v>
      </c>
      <c r="CD2682">
        <v>4000</v>
      </c>
      <c r="CE2682" t="s">
        <v>147</v>
      </c>
      <c r="CF2682" s="3">
        <v>45954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"080068695811"</f>
        <v>080068695811</v>
      </c>
      <c r="F2683" s="3">
        <v>45953</v>
      </c>
      <c r="G2683">
        <v>202607</v>
      </c>
      <c r="H2683" t="s">
        <v>79</v>
      </c>
      <c r="I2683" t="s">
        <v>80</v>
      </c>
      <c r="J2683" t="s">
        <v>91</v>
      </c>
      <c r="K2683" t="s">
        <v>78</v>
      </c>
      <c r="L2683" t="s">
        <v>333</v>
      </c>
      <c r="M2683" t="s">
        <v>334</v>
      </c>
      <c r="N2683" t="s">
        <v>794</v>
      </c>
      <c r="O2683" t="s">
        <v>82</v>
      </c>
      <c r="P2683" t="str">
        <f>"4170065791                    "</f>
        <v xml:space="preserve">4170065791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22.36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70.959999999999994</v>
      </c>
      <c r="BM2683">
        <v>10.64</v>
      </c>
      <c r="BN2683">
        <v>81.599999999999994</v>
      </c>
      <c r="BO2683">
        <v>81.599999999999994</v>
      </c>
      <c r="BQ2683" t="s">
        <v>795</v>
      </c>
      <c r="BR2683" t="s">
        <v>97</v>
      </c>
      <c r="BS2683" s="3">
        <v>45954</v>
      </c>
      <c r="BT2683" s="4">
        <v>0.43194444444444446</v>
      </c>
      <c r="BU2683" t="s">
        <v>796</v>
      </c>
      <c r="BV2683" t="s">
        <v>86</v>
      </c>
      <c r="BY2683">
        <v>1200</v>
      </c>
      <c r="CA2683" t="s">
        <v>142</v>
      </c>
      <c r="CC2683" t="s">
        <v>334</v>
      </c>
      <c r="CD2683">
        <v>6220</v>
      </c>
      <c r="CE2683" t="s">
        <v>147</v>
      </c>
      <c r="CF2683" s="3">
        <v>45954</v>
      </c>
      <c r="CI2683">
        <v>1</v>
      </c>
      <c r="CJ2683">
        <v>1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"080068695867"</f>
        <v>080068695867</v>
      </c>
      <c r="F2684" s="3">
        <v>45953</v>
      </c>
      <c r="G2684">
        <v>202607</v>
      </c>
      <c r="H2684" t="s">
        <v>79</v>
      </c>
      <c r="I2684" t="s">
        <v>80</v>
      </c>
      <c r="J2684" t="s">
        <v>91</v>
      </c>
      <c r="K2684" t="s">
        <v>78</v>
      </c>
      <c r="L2684" t="s">
        <v>168</v>
      </c>
      <c r="M2684" t="s">
        <v>169</v>
      </c>
      <c r="N2684" t="s">
        <v>737</v>
      </c>
      <c r="O2684" t="s">
        <v>82</v>
      </c>
      <c r="P2684" t="str">
        <f>"4170065800                    "</f>
        <v xml:space="preserve">4170065800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22.36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70.959999999999994</v>
      </c>
      <c r="BM2684">
        <v>10.64</v>
      </c>
      <c r="BN2684">
        <v>81.599999999999994</v>
      </c>
      <c r="BO2684">
        <v>81.599999999999994</v>
      </c>
      <c r="BQ2684" t="s">
        <v>738</v>
      </c>
      <c r="BR2684" t="s">
        <v>97</v>
      </c>
      <c r="BS2684" s="3">
        <v>45954</v>
      </c>
      <c r="BT2684" s="4">
        <v>0.41458333333333336</v>
      </c>
      <c r="BU2684" t="s">
        <v>1153</v>
      </c>
      <c r="BV2684" t="s">
        <v>86</v>
      </c>
      <c r="BY2684">
        <v>1200</v>
      </c>
      <c r="CA2684">
        <v>9103185460089</v>
      </c>
      <c r="CC2684" t="s">
        <v>169</v>
      </c>
      <c r="CD2684" s="5" t="s">
        <v>173</v>
      </c>
      <c r="CE2684" t="s">
        <v>147</v>
      </c>
      <c r="CF2684" s="3">
        <v>45954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"080068695896"</f>
        <v>080068695896</v>
      </c>
      <c r="F2685" s="3">
        <v>45953</v>
      </c>
      <c r="G2685">
        <v>202607</v>
      </c>
      <c r="H2685" t="s">
        <v>79</v>
      </c>
      <c r="I2685" t="s">
        <v>80</v>
      </c>
      <c r="J2685" t="s">
        <v>91</v>
      </c>
      <c r="K2685" t="s">
        <v>78</v>
      </c>
      <c r="L2685" t="s">
        <v>3097</v>
      </c>
      <c r="M2685" t="s">
        <v>3098</v>
      </c>
      <c r="N2685" t="s">
        <v>3099</v>
      </c>
      <c r="O2685" t="s">
        <v>82</v>
      </c>
      <c r="P2685" t="str">
        <f>"4170065796                    "</f>
        <v xml:space="preserve">4170065796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43.31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137.47</v>
      </c>
      <c r="BM2685">
        <v>20.62</v>
      </c>
      <c r="BN2685">
        <v>158.09</v>
      </c>
      <c r="BO2685">
        <v>158.09</v>
      </c>
      <c r="BQ2685" t="s">
        <v>3100</v>
      </c>
      <c r="BR2685" t="s">
        <v>97</v>
      </c>
      <c r="BS2685" s="3">
        <v>45957</v>
      </c>
      <c r="BT2685" s="4">
        <v>0.43125000000000002</v>
      </c>
      <c r="BU2685" t="s">
        <v>3101</v>
      </c>
      <c r="BV2685" t="s">
        <v>86</v>
      </c>
      <c r="BY2685">
        <v>1200</v>
      </c>
      <c r="CC2685" t="s">
        <v>3098</v>
      </c>
      <c r="CD2685">
        <v>5320</v>
      </c>
      <c r="CE2685" t="s">
        <v>147</v>
      </c>
      <c r="CF2685" s="3">
        <v>45957</v>
      </c>
      <c r="CI2685">
        <v>5</v>
      </c>
      <c r="CJ2685">
        <v>2</v>
      </c>
      <c r="CK2685">
        <v>23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"080068695918"</f>
        <v>080068695918</v>
      </c>
      <c r="F2686" s="3">
        <v>45953</v>
      </c>
      <c r="G2686">
        <v>202607</v>
      </c>
      <c r="H2686" t="s">
        <v>79</v>
      </c>
      <c r="I2686" t="s">
        <v>80</v>
      </c>
      <c r="J2686" t="s">
        <v>91</v>
      </c>
      <c r="K2686" t="s">
        <v>78</v>
      </c>
      <c r="L2686" t="s">
        <v>108</v>
      </c>
      <c r="M2686" t="s">
        <v>109</v>
      </c>
      <c r="N2686" t="s">
        <v>2031</v>
      </c>
      <c r="O2686" t="s">
        <v>82</v>
      </c>
      <c r="P2686" t="str">
        <f>"4170065733                    "</f>
        <v xml:space="preserve">4170065733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22.36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70.959999999999994</v>
      </c>
      <c r="BM2686">
        <v>10.64</v>
      </c>
      <c r="BN2686">
        <v>81.599999999999994</v>
      </c>
      <c r="BO2686">
        <v>81.599999999999994</v>
      </c>
      <c r="BQ2686" t="s">
        <v>2032</v>
      </c>
      <c r="BR2686" t="s">
        <v>97</v>
      </c>
      <c r="BS2686" s="3">
        <v>45954</v>
      </c>
      <c r="BT2686" s="4">
        <v>0.4236111111111111</v>
      </c>
      <c r="BU2686" t="s">
        <v>3179</v>
      </c>
      <c r="BV2686" t="s">
        <v>86</v>
      </c>
      <c r="BY2686">
        <v>1200</v>
      </c>
      <c r="CA2686" t="s">
        <v>762</v>
      </c>
      <c r="CC2686" t="s">
        <v>109</v>
      </c>
      <c r="CD2686">
        <v>6001</v>
      </c>
      <c r="CE2686" t="s">
        <v>147</v>
      </c>
      <c r="CF2686" s="3">
        <v>45954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"080068695940"</f>
        <v>080068695940</v>
      </c>
      <c r="F2687" s="3">
        <v>45953</v>
      </c>
      <c r="G2687">
        <v>202607</v>
      </c>
      <c r="H2687" t="s">
        <v>79</v>
      </c>
      <c r="I2687" t="s">
        <v>80</v>
      </c>
      <c r="J2687" t="s">
        <v>91</v>
      </c>
      <c r="K2687" t="s">
        <v>78</v>
      </c>
      <c r="L2687" t="s">
        <v>180</v>
      </c>
      <c r="M2687" t="s">
        <v>181</v>
      </c>
      <c r="N2687" t="s">
        <v>182</v>
      </c>
      <c r="O2687" t="s">
        <v>82</v>
      </c>
      <c r="P2687" t="str">
        <f>"4170065746                    "</f>
        <v xml:space="preserve">4170065746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43.31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137.47</v>
      </c>
      <c r="BM2687">
        <v>20.62</v>
      </c>
      <c r="BN2687">
        <v>158.09</v>
      </c>
      <c r="BO2687">
        <v>158.09</v>
      </c>
      <c r="BQ2687" t="s">
        <v>183</v>
      </c>
      <c r="BR2687" t="s">
        <v>97</v>
      </c>
      <c r="BS2687" s="3">
        <v>45954</v>
      </c>
      <c r="BT2687" s="4">
        <v>0.49305555555555558</v>
      </c>
      <c r="BU2687" t="s">
        <v>2249</v>
      </c>
      <c r="BV2687" t="s">
        <v>86</v>
      </c>
      <c r="BY2687">
        <v>1200</v>
      </c>
      <c r="CA2687">
        <v>8410105735081</v>
      </c>
      <c r="CC2687" t="s">
        <v>181</v>
      </c>
      <c r="CD2687">
        <v>1028</v>
      </c>
      <c r="CE2687" t="s">
        <v>147</v>
      </c>
      <c r="CF2687" s="3">
        <v>45954</v>
      </c>
      <c r="CI2687">
        <v>1</v>
      </c>
      <c r="CJ2687">
        <v>1</v>
      </c>
      <c r="CK2687">
        <v>23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"080068696050"</f>
        <v>080068696050</v>
      </c>
      <c r="F2688" s="3">
        <v>45953</v>
      </c>
      <c r="G2688">
        <v>202607</v>
      </c>
      <c r="H2688" t="s">
        <v>79</v>
      </c>
      <c r="I2688" t="s">
        <v>80</v>
      </c>
      <c r="J2688" t="s">
        <v>91</v>
      </c>
      <c r="K2688" t="s">
        <v>78</v>
      </c>
      <c r="L2688" t="s">
        <v>206</v>
      </c>
      <c r="M2688" t="s">
        <v>207</v>
      </c>
      <c r="N2688" t="s">
        <v>208</v>
      </c>
      <c r="O2688" t="s">
        <v>95</v>
      </c>
      <c r="P2688" t="str">
        <f>"4170065706                    "</f>
        <v xml:space="preserve">4170065706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46.8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2</v>
      </c>
      <c r="BI2688">
        <v>15.5</v>
      </c>
      <c r="BJ2688">
        <v>16.5</v>
      </c>
      <c r="BK2688">
        <v>17</v>
      </c>
      <c r="BL2688">
        <v>154.41</v>
      </c>
      <c r="BM2688">
        <v>23.16</v>
      </c>
      <c r="BN2688">
        <v>177.57</v>
      </c>
      <c r="BO2688">
        <v>177.57</v>
      </c>
      <c r="BQ2688" t="s">
        <v>209</v>
      </c>
      <c r="BR2688" t="s">
        <v>97</v>
      </c>
      <c r="BS2688" s="3">
        <v>45957</v>
      </c>
      <c r="BT2688" s="4">
        <v>0.55694444444444446</v>
      </c>
      <c r="BU2688" t="s">
        <v>3180</v>
      </c>
      <c r="BV2688" t="s">
        <v>86</v>
      </c>
      <c r="BY2688">
        <v>82542.539999999994</v>
      </c>
      <c r="CA2688" t="s">
        <v>3181</v>
      </c>
      <c r="CC2688" t="s">
        <v>207</v>
      </c>
      <c r="CD2688">
        <v>7441</v>
      </c>
      <c r="CE2688" t="s">
        <v>191</v>
      </c>
      <c r="CF2688" s="3">
        <v>45958</v>
      </c>
      <c r="CI2688">
        <v>3</v>
      </c>
      <c r="CJ2688">
        <v>2</v>
      </c>
      <c r="CK2688">
        <v>41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"080068696066"</f>
        <v>080068696066</v>
      </c>
      <c r="F2689" s="3">
        <v>45953</v>
      </c>
      <c r="G2689">
        <v>202607</v>
      </c>
      <c r="H2689" t="s">
        <v>79</v>
      </c>
      <c r="I2689" t="s">
        <v>80</v>
      </c>
      <c r="J2689" t="s">
        <v>91</v>
      </c>
      <c r="K2689" t="s">
        <v>78</v>
      </c>
      <c r="L2689" t="s">
        <v>121</v>
      </c>
      <c r="M2689" t="s">
        <v>122</v>
      </c>
      <c r="N2689" t="s">
        <v>1557</v>
      </c>
      <c r="O2689" t="s">
        <v>82</v>
      </c>
      <c r="P2689" t="str">
        <f>"4170065762                    "</f>
        <v xml:space="preserve">4170065762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67.03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6</v>
      </c>
      <c r="BJ2689">
        <v>3.4</v>
      </c>
      <c r="BK2689">
        <v>6</v>
      </c>
      <c r="BL2689">
        <v>212.75</v>
      </c>
      <c r="BM2689">
        <v>31.91</v>
      </c>
      <c r="BN2689">
        <v>244.66</v>
      </c>
      <c r="BO2689">
        <v>244.66</v>
      </c>
      <c r="BQ2689" t="s">
        <v>1558</v>
      </c>
      <c r="BR2689" t="s">
        <v>97</v>
      </c>
      <c r="BS2689" s="3">
        <v>45954</v>
      </c>
      <c r="BT2689" s="4">
        <v>0.41249999999999998</v>
      </c>
      <c r="BU2689" t="s">
        <v>1559</v>
      </c>
      <c r="BV2689" t="s">
        <v>86</v>
      </c>
      <c r="BY2689">
        <v>16965</v>
      </c>
      <c r="CA2689" t="s">
        <v>651</v>
      </c>
      <c r="CC2689" t="s">
        <v>122</v>
      </c>
      <c r="CD2689">
        <v>4001</v>
      </c>
      <c r="CE2689" t="s">
        <v>191</v>
      </c>
      <c r="CF2689" s="3">
        <v>45954</v>
      </c>
      <c r="CI2689">
        <v>1</v>
      </c>
      <c r="CJ2689">
        <v>1</v>
      </c>
      <c r="CK2689">
        <v>21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"080068696101"</f>
        <v>080068696101</v>
      </c>
      <c r="F2690" s="3">
        <v>45953</v>
      </c>
      <c r="G2690">
        <v>202607</v>
      </c>
      <c r="H2690" t="s">
        <v>79</v>
      </c>
      <c r="I2690" t="s">
        <v>80</v>
      </c>
      <c r="J2690" t="s">
        <v>91</v>
      </c>
      <c r="K2690" t="s">
        <v>78</v>
      </c>
      <c r="L2690" t="s">
        <v>108</v>
      </c>
      <c r="M2690" t="s">
        <v>109</v>
      </c>
      <c r="N2690" t="s">
        <v>2346</v>
      </c>
      <c r="O2690" t="s">
        <v>82</v>
      </c>
      <c r="P2690" t="str">
        <f>"4170065788                    "</f>
        <v xml:space="preserve">4170065788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89.37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16.739999999999998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8</v>
      </c>
      <c r="BJ2690">
        <v>3.8</v>
      </c>
      <c r="BK2690">
        <v>8</v>
      </c>
      <c r="BL2690">
        <v>300.39</v>
      </c>
      <c r="BM2690">
        <v>45.06</v>
      </c>
      <c r="BN2690">
        <v>345.45</v>
      </c>
      <c r="BO2690">
        <v>345.45</v>
      </c>
      <c r="BQ2690" t="s">
        <v>2347</v>
      </c>
      <c r="BR2690" t="s">
        <v>97</v>
      </c>
      <c r="BS2690" s="3">
        <v>45954</v>
      </c>
      <c r="BT2690" s="4">
        <v>0.43055555555555558</v>
      </c>
      <c r="BU2690" t="s">
        <v>3182</v>
      </c>
      <c r="BV2690" t="s">
        <v>86</v>
      </c>
      <c r="BY2690">
        <v>19227</v>
      </c>
      <c r="BZ2690" t="s">
        <v>30</v>
      </c>
      <c r="CA2690" t="s">
        <v>142</v>
      </c>
      <c r="CC2690" t="s">
        <v>109</v>
      </c>
      <c r="CD2690">
        <v>6000</v>
      </c>
      <c r="CE2690" t="s">
        <v>191</v>
      </c>
      <c r="CF2690" s="3">
        <v>45954</v>
      </c>
      <c r="CI2690">
        <v>1</v>
      </c>
      <c r="CJ2690">
        <v>1</v>
      </c>
      <c r="CK2690">
        <v>21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"080068696112"</f>
        <v>080068696112</v>
      </c>
      <c r="F2691" s="3">
        <v>45953</v>
      </c>
      <c r="G2691">
        <v>202607</v>
      </c>
      <c r="H2691" t="s">
        <v>79</v>
      </c>
      <c r="I2691" t="s">
        <v>80</v>
      </c>
      <c r="J2691" t="s">
        <v>91</v>
      </c>
      <c r="K2691" t="s">
        <v>78</v>
      </c>
      <c r="L2691" t="s">
        <v>853</v>
      </c>
      <c r="M2691" t="s">
        <v>854</v>
      </c>
      <c r="N2691" t="s">
        <v>855</v>
      </c>
      <c r="O2691" t="s">
        <v>82</v>
      </c>
      <c r="P2691" t="str">
        <f>"4170065826                    "</f>
        <v xml:space="preserve">4170065826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44.69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4</v>
      </c>
      <c r="BJ2691">
        <v>3.4</v>
      </c>
      <c r="BK2691">
        <v>4</v>
      </c>
      <c r="BL2691">
        <v>141.85</v>
      </c>
      <c r="BM2691">
        <v>21.28</v>
      </c>
      <c r="BN2691">
        <v>163.13</v>
      </c>
      <c r="BO2691">
        <v>163.13</v>
      </c>
      <c r="BQ2691" t="s">
        <v>856</v>
      </c>
      <c r="BR2691" t="s">
        <v>97</v>
      </c>
      <c r="BS2691" s="3">
        <v>45954</v>
      </c>
      <c r="BT2691" s="4">
        <v>0.41805555555555557</v>
      </c>
      <c r="BU2691" t="s">
        <v>1764</v>
      </c>
      <c r="BV2691" t="s">
        <v>86</v>
      </c>
      <c r="BY2691">
        <v>16965</v>
      </c>
      <c r="CA2691" t="s">
        <v>859</v>
      </c>
      <c r="CC2691" t="s">
        <v>854</v>
      </c>
      <c r="CD2691">
        <v>4120</v>
      </c>
      <c r="CE2691" t="s">
        <v>191</v>
      </c>
      <c r="CF2691" s="3">
        <v>45954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"080068696125"</f>
        <v>080068696125</v>
      </c>
      <c r="F2692" s="3">
        <v>45953</v>
      </c>
      <c r="G2692">
        <v>202607</v>
      </c>
      <c r="H2692" t="s">
        <v>79</v>
      </c>
      <c r="I2692" t="s">
        <v>80</v>
      </c>
      <c r="J2692" t="s">
        <v>91</v>
      </c>
      <c r="K2692" t="s">
        <v>78</v>
      </c>
      <c r="L2692" t="s">
        <v>108</v>
      </c>
      <c r="M2692" t="s">
        <v>109</v>
      </c>
      <c r="N2692" t="s">
        <v>256</v>
      </c>
      <c r="O2692" t="s">
        <v>82</v>
      </c>
      <c r="P2692" t="str">
        <f>"4170065744                    "</f>
        <v xml:space="preserve">4170065744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22.36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0.7</v>
      </c>
      <c r="BK2692">
        <v>1</v>
      </c>
      <c r="BL2692">
        <v>70.959999999999994</v>
      </c>
      <c r="BM2692">
        <v>10.64</v>
      </c>
      <c r="BN2692">
        <v>81.599999999999994</v>
      </c>
      <c r="BO2692">
        <v>81.599999999999994</v>
      </c>
      <c r="BQ2692" t="s">
        <v>257</v>
      </c>
      <c r="BR2692" t="s">
        <v>97</v>
      </c>
      <c r="BS2692" s="3">
        <v>45954</v>
      </c>
      <c r="BT2692" s="4">
        <v>0.3888888888888889</v>
      </c>
      <c r="BU2692" t="s">
        <v>258</v>
      </c>
      <c r="BV2692" t="s">
        <v>86</v>
      </c>
      <c r="BY2692">
        <v>3306</v>
      </c>
      <c r="CA2692" t="s">
        <v>142</v>
      </c>
      <c r="CC2692" t="s">
        <v>109</v>
      </c>
      <c r="CD2692">
        <v>6001</v>
      </c>
      <c r="CE2692" t="s">
        <v>191</v>
      </c>
      <c r="CF2692" s="3">
        <v>45954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"080068696133"</f>
        <v>080068696133</v>
      </c>
      <c r="F2693" s="3">
        <v>45953</v>
      </c>
      <c r="G2693">
        <v>202607</v>
      </c>
      <c r="H2693" t="s">
        <v>79</v>
      </c>
      <c r="I2693" t="s">
        <v>80</v>
      </c>
      <c r="J2693" t="s">
        <v>91</v>
      </c>
      <c r="K2693" t="s">
        <v>78</v>
      </c>
      <c r="L2693" t="s">
        <v>92</v>
      </c>
      <c r="M2693" t="s">
        <v>93</v>
      </c>
      <c r="N2693" t="s">
        <v>601</v>
      </c>
      <c r="O2693" t="s">
        <v>82</v>
      </c>
      <c r="P2693" t="str">
        <f>"4170065701                    "</f>
        <v xml:space="preserve">4170065701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33.520000000000003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3</v>
      </c>
      <c r="BJ2693">
        <v>0.7</v>
      </c>
      <c r="BK2693">
        <v>3</v>
      </c>
      <c r="BL2693">
        <v>106.4</v>
      </c>
      <c r="BM2693">
        <v>15.96</v>
      </c>
      <c r="BN2693">
        <v>122.36</v>
      </c>
      <c r="BO2693">
        <v>122.36</v>
      </c>
      <c r="BQ2693" t="s">
        <v>602</v>
      </c>
      <c r="BR2693" t="s">
        <v>97</v>
      </c>
      <c r="BS2693" s="3">
        <v>45954</v>
      </c>
      <c r="BT2693" s="4">
        <v>0.4513888888888889</v>
      </c>
      <c r="BU2693" t="s">
        <v>852</v>
      </c>
      <c r="BV2693" t="s">
        <v>86</v>
      </c>
      <c r="BY2693">
        <v>3306</v>
      </c>
      <c r="CC2693" t="s">
        <v>93</v>
      </c>
      <c r="CD2693">
        <v>3212</v>
      </c>
      <c r="CE2693" t="s">
        <v>191</v>
      </c>
      <c r="CF2693" s="3">
        <v>45955</v>
      </c>
      <c r="CI2693">
        <v>2</v>
      </c>
      <c r="CJ2693">
        <v>1</v>
      </c>
      <c r="CK2693">
        <v>21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"080068696150"</f>
        <v>080068696150</v>
      </c>
      <c r="F2694" s="3">
        <v>45953</v>
      </c>
      <c r="G2694">
        <v>202607</v>
      </c>
      <c r="H2694" t="s">
        <v>79</v>
      </c>
      <c r="I2694" t="s">
        <v>80</v>
      </c>
      <c r="J2694" t="s">
        <v>91</v>
      </c>
      <c r="K2694" t="s">
        <v>78</v>
      </c>
      <c r="L2694" t="s">
        <v>168</v>
      </c>
      <c r="M2694" t="s">
        <v>169</v>
      </c>
      <c r="N2694" t="s">
        <v>1801</v>
      </c>
      <c r="O2694" t="s">
        <v>82</v>
      </c>
      <c r="P2694" t="str">
        <f>"4170065751                    "</f>
        <v xml:space="preserve">4170065751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22.36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0.7</v>
      </c>
      <c r="BK2694">
        <v>1</v>
      </c>
      <c r="BL2694">
        <v>70.959999999999994</v>
      </c>
      <c r="BM2694">
        <v>10.64</v>
      </c>
      <c r="BN2694">
        <v>81.599999999999994</v>
      </c>
      <c r="BO2694">
        <v>81.599999999999994</v>
      </c>
      <c r="BQ2694" t="s">
        <v>1802</v>
      </c>
      <c r="BR2694" t="s">
        <v>97</v>
      </c>
      <c r="BS2694" s="3">
        <v>45957</v>
      </c>
      <c r="BT2694" s="4">
        <v>0.31736111111111109</v>
      </c>
      <c r="BU2694" t="s">
        <v>3183</v>
      </c>
      <c r="BV2694" t="s">
        <v>90</v>
      </c>
      <c r="BW2694" t="s">
        <v>188</v>
      </c>
      <c r="BX2694" t="s">
        <v>189</v>
      </c>
      <c r="BY2694">
        <v>3730.56</v>
      </c>
      <c r="CA2694">
        <v>8110305701087</v>
      </c>
      <c r="CC2694" t="s">
        <v>169</v>
      </c>
      <c r="CD2694" s="5" t="s">
        <v>839</v>
      </c>
      <c r="CE2694" t="s">
        <v>191</v>
      </c>
      <c r="CF2694" s="3">
        <v>45957</v>
      </c>
      <c r="CI2694">
        <v>1</v>
      </c>
      <c r="CJ2694">
        <v>2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"080068696175"</f>
        <v>080068696175</v>
      </c>
      <c r="F2695" s="3">
        <v>45953</v>
      </c>
      <c r="G2695">
        <v>202607</v>
      </c>
      <c r="H2695" t="s">
        <v>79</v>
      </c>
      <c r="I2695" t="s">
        <v>80</v>
      </c>
      <c r="J2695" t="s">
        <v>91</v>
      </c>
      <c r="K2695" t="s">
        <v>78</v>
      </c>
      <c r="L2695" t="s">
        <v>168</v>
      </c>
      <c r="M2695" t="s">
        <v>169</v>
      </c>
      <c r="N2695" t="s">
        <v>1057</v>
      </c>
      <c r="O2695" t="s">
        <v>95</v>
      </c>
      <c r="P2695" t="str">
        <f>"4170065804                    "</f>
        <v xml:space="preserve">4170065804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62.86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2</v>
      </c>
      <c r="BI2695">
        <v>25.3</v>
      </c>
      <c r="BJ2695">
        <v>19.5</v>
      </c>
      <c r="BK2695">
        <v>26</v>
      </c>
      <c r="BL2695">
        <v>205.39</v>
      </c>
      <c r="BM2695">
        <v>30.81</v>
      </c>
      <c r="BN2695">
        <v>236.2</v>
      </c>
      <c r="BO2695">
        <v>236.2</v>
      </c>
      <c r="BQ2695" t="s">
        <v>1058</v>
      </c>
      <c r="BR2695" t="s">
        <v>97</v>
      </c>
      <c r="BS2695" s="3">
        <v>45954</v>
      </c>
      <c r="BT2695" s="4">
        <v>0.38680555555555557</v>
      </c>
      <c r="BU2695" t="s">
        <v>3184</v>
      </c>
      <c r="BV2695" t="s">
        <v>86</v>
      </c>
      <c r="BY2695">
        <v>97317.6</v>
      </c>
      <c r="CC2695" t="s">
        <v>169</v>
      </c>
      <c r="CD2695" s="5" t="s">
        <v>979</v>
      </c>
      <c r="CE2695" t="s">
        <v>191</v>
      </c>
      <c r="CF2695" s="3">
        <v>45954</v>
      </c>
      <c r="CI2695">
        <v>1</v>
      </c>
      <c r="CJ2695">
        <v>1</v>
      </c>
      <c r="CK2695">
        <v>41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"080068696219"</f>
        <v>080068696219</v>
      </c>
      <c r="F2696" s="3">
        <v>45953</v>
      </c>
      <c r="G2696">
        <v>202607</v>
      </c>
      <c r="H2696" t="s">
        <v>79</v>
      </c>
      <c r="I2696" t="s">
        <v>80</v>
      </c>
      <c r="J2696" t="s">
        <v>91</v>
      </c>
      <c r="K2696" t="s">
        <v>78</v>
      </c>
      <c r="L2696" t="s">
        <v>206</v>
      </c>
      <c r="M2696" t="s">
        <v>207</v>
      </c>
      <c r="N2696" t="s">
        <v>656</v>
      </c>
      <c r="O2696" t="s">
        <v>82</v>
      </c>
      <c r="P2696" t="str">
        <f>"4170065847                    "</f>
        <v xml:space="preserve">4170065847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22.36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70.959999999999994</v>
      </c>
      <c r="BM2696">
        <v>10.64</v>
      </c>
      <c r="BN2696">
        <v>81.599999999999994</v>
      </c>
      <c r="BO2696">
        <v>81.599999999999994</v>
      </c>
      <c r="BQ2696" t="s">
        <v>657</v>
      </c>
      <c r="BR2696" t="s">
        <v>97</v>
      </c>
      <c r="BS2696" s="3">
        <v>45954</v>
      </c>
      <c r="BT2696" s="4">
        <v>0.39861111111111114</v>
      </c>
      <c r="BU2696" t="s">
        <v>658</v>
      </c>
      <c r="BV2696" t="s">
        <v>86</v>
      </c>
      <c r="BY2696">
        <v>1200</v>
      </c>
      <c r="CA2696" t="s">
        <v>211</v>
      </c>
      <c r="CC2696" t="s">
        <v>207</v>
      </c>
      <c r="CD2696">
        <v>7441</v>
      </c>
      <c r="CE2696" t="s">
        <v>147</v>
      </c>
      <c r="CF2696" s="3">
        <v>45957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"080068696250"</f>
        <v>080068696250</v>
      </c>
      <c r="F2697" s="3">
        <v>45953</v>
      </c>
      <c r="G2697">
        <v>202607</v>
      </c>
      <c r="H2697" t="s">
        <v>79</v>
      </c>
      <c r="I2697" t="s">
        <v>80</v>
      </c>
      <c r="J2697" t="s">
        <v>91</v>
      </c>
      <c r="K2697" t="s">
        <v>78</v>
      </c>
      <c r="L2697" t="s">
        <v>168</v>
      </c>
      <c r="M2697" t="s">
        <v>169</v>
      </c>
      <c r="N2697" t="s">
        <v>170</v>
      </c>
      <c r="O2697" t="s">
        <v>82</v>
      </c>
      <c r="P2697" t="str">
        <f>"4170065654                    "</f>
        <v xml:space="preserve">4170065654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22.36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70.959999999999994</v>
      </c>
      <c r="BM2697">
        <v>10.64</v>
      </c>
      <c r="BN2697">
        <v>81.599999999999994</v>
      </c>
      <c r="BO2697">
        <v>81.599999999999994</v>
      </c>
      <c r="BQ2697" t="s">
        <v>171</v>
      </c>
      <c r="BR2697" t="s">
        <v>97</v>
      </c>
      <c r="BS2697" s="3">
        <v>45954</v>
      </c>
      <c r="BT2697" s="4">
        <v>0.35</v>
      </c>
      <c r="BU2697" t="s">
        <v>332</v>
      </c>
      <c r="BV2697" t="s">
        <v>86</v>
      </c>
      <c r="BY2697">
        <v>1200</v>
      </c>
      <c r="CA2697">
        <v>7712195338085</v>
      </c>
      <c r="CC2697" t="s">
        <v>169</v>
      </c>
      <c r="CD2697" s="5" t="s">
        <v>173</v>
      </c>
      <c r="CE2697" t="s">
        <v>147</v>
      </c>
      <c r="CF2697" s="3">
        <v>45954</v>
      </c>
      <c r="CI2697">
        <v>1</v>
      </c>
      <c r="CJ2697">
        <v>1</v>
      </c>
      <c r="CK2697">
        <v>21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"080068696282"</f>
        <v>080068696282</v>
      </c>
      <c r="F2698" s="3">
        <v>45953</v>
      </c>
      <c r="G2698">
        <v>202607</v>
      </c>
      <c r="H2698" t="s">
        <v>79</v>
      </c>
      <c r="I2698" t="s">
        <v>80</v>
      </c>
      <c r="J2698" t="s">
        <v>91</v>
      </c>
      <c r="K2698" t="s">
        <v>78</v>
      </c>
      <c r="L2698" t="s">
        <v>542</v>
      </c>
      <c r="M2698" t="s">
        <v>543</v>
      </c>
      <c r="N2698" t="s">
        <v>915</v>
      </c>
      <c r="O2698" t="s">
        <v>82</v>
      </c>
      <c r="P2698" t="str">
        <f>"4170065613                    "</f>
        <v xml:space="preserve">4170065613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17.46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55.42</v>
      </c>
      <c r="BM2698">
        <v>8.31</v>
      </c>
      <c r="BN2698">
        <v>63.73</v>
      </c>
      <c r="BO2698">
        <v>63.73</v>
      </c>
      <c r="BQ2698" t="s">
        <v>916</v>
      </c>
      <c r="BR2698" t="s">
        <v>97</v>
      </c>
      <c r="BS2698" s="3">
        <v>45954</v>
      </c>
      <c r="BT2698" s="4">
        <v>0.43541666666666667</v>
      </c>
      <c r="BU2698" t="s">
        <v>917</v>
      </c>
      <c r="BV2698" t="s">
        <v>86</v>
      </c>
      <c r="BY2698">
        <v>1200</v>
      </c>
      <c r="CA2698" t="s">
        <v>918</v>
      </c>
      <c r="CC2698" t="s">
        <v>543</v>
      </c>
      <c r="CD2698">
        <v>1682</v>
      </c>
      <c r="CE2698" t="s">
        <v>147</v>
      </c>
      <c r="CF2698" s="3">
        <v>45954</v>
      </c>
      <c r="CI2698">
        <v>1</v>
      </c>
      <c r="CJ2698">
        <v>1</v>
      </c>
      <c r="CK2698">
        <v>22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"080068696322"</f>
        <v>080068696322</v>
      </c>
      <c r="F2699" s="3">
        <v>45953</v>
      </c>
      <c r="G2699">
        <v>202607</v>
      </c>
      <c r="H2699" t="s">
        <v>79</v>
      </c>
      <c r="I2699" t="s">
        <v>80</v>
      </c>
      <c r="J2699" t="s">
        <v>91</v>
      </c>
      <c r="K2699" t="s">
        <v>78</v>
      </c>
      <c r="L2699" t="s">
        <v>121</v>
      </c>
      <c r="M2699" t="s">
        <v>122</v>
      </c>
      <c r="N2699" t="s">
        <v>123</v>
      </c>
      <c r="O2699" t="s">
        <v>82</v>
      </c>
      <c r="P2699" t="str">
        <f>"4170065809                    "</f>
        <v xml:space="preserve">4170065809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22.36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70.959999999999994</v>
      </c>
      <c r="BM2699">
        <v>10.64</v>
      </c>
      <c r="BN2699">
        <v>81.599999999999994</v>
      </c>
      <c r="BO2699">
        <v>81.599999999999994</v>
      </c>
      <c r="BQ2699" t="s">
        <v>124</v>
      </c>
      <c r="BR2699" t="s">
        <v>97</v>
      </c>
      <c r="BS2699" s="3">
        <v>45954</v>
      </c>
      <c r="BT2699" s="4">
        <v>0.3527777777777778</v>
      </c>
      <c r="BU2699" t="s">
        <v>3178</v>
      </c>
      <c r="BV2699" t="s">
        <v>86</v>
      </c>
      <c r="BY2699">
        <v>1200</v>
      </c>
      <c r="CA2699" t="s">
        <v>126</v>
      </c>
      <c r="CC2699" t="s">
        <v>122</v>
      </c>
      <c r="CD2699">
        <v>4000</v>
      </c>
      <c r="CE2699" t="s">
        <v>147</v>
      </c>
      <c r="CF2699" s="3">
        <v>45954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"080068696400"</f>
        <v>080068696400</v>
      </c>
      <c r="F2700" s="3">
        <v>45953</v>
      </c>
      <c r="G2700">
        <v>202607</v>
      </c>
      <c r="H2700" t="s">
        <v>79</v>
      </c>
      <c r="I2700" t="s">
        <v>80</v>
      </c>
      <c r="J2700" t="s">
        <v>91</v>
      </c>
      <c r="K2700" t="s">
        <v>78</v>
      </c>
      <c r="L2700" t="s">
        <v>206</v>
      </c>
      <c r="M2700" t="s">
        <v>207</v>
      </c>
      <c r="N2700" t="s">
        <v>656</v>
      </c>
      <c r="O2700" t="s">
        <v>82</v>
      </c>
      <c r="P2700" t="str">
        <f>"4170065845                    "</f>
        <v xml:space="preserve">4170065845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22.36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70.959999999999994</v>
      </c>
      <c r="BM2700">
        <v>10.64</v>
      </c>
      <c r="BN2700">
        <v>81.599999999999994</v>
      </c>
      <c r="BO2700">
        <v>81.599999999999994</v>
      </c>
      <c r="BQ2700" t="s">
        <v>657</v>
      </c>
      <c r="BR2700" t="s">
        <v>97</v>
      </c>
      <c r="BS2700" s="3">
        <v>45954</v>
      </c>
      <c r="BT2700" s="4">
        <v>0.39861111111111114</v>
      </c>
      <c r="BU2700" t="s">
        <v>658</v>
      </c>
      <c r="BV2700" t="s">
        <v>86</v>
      </c>
      <c r="BY2700">
        <v>1200</v>
      </c>
      <c r="CA2700" t="s">
        <v>211</v>
      </c>
      <c r="CC2700" t="s">
        <v>207</v>
      </c>
      <c r="CD2700">
        <v>7441</v>
      </c>
      <c r="CE2700" t="s">
        <v>147</v>
      </c>
      <c r="CF2700" s="3">
        <v>45957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"080068696449"</f>
        <v>080068696449</v>
      </c>
      <c r="F2701" s="3">
        <v>45953</v>
      </c>
      <c r="G2701">
        <v>202607</v>
      </c>
      <c r="H2701" t="s">
        <v>79</v>
      </c>
      <c r="I2701" t="s">
        <v>80</v>
      </c>
      <c r="J2701" t="s">
        <v>91</v>
      </c>
      <c r="K2701" t="s">
        <v>78</v>
      </c>
      <c r="L2701" t="s">
        <v>333</v>
      </c>
      <c r="M2701" t="s">
        <v>334</v>
      </c>
      <c r="N2701" t="s">
        <v>794</v>
      </c>
      <c r="O2701" t="s">
        <v>95</v>
      </c>
      <c r="P2701" t="str">
        <f>"4170065790                    "</f>
        <v xml:space="preserve">4170065790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48.59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17</v>
      </c>
      <c r="BJ2701">
        <v>17.899999999999999</v>
      </c>
      <c r="BK2701">
        <v>18</v>
      </c>
      <c r="BL2701">
        <v>160.08000000000001</v>
      </c>
      <c r="BM2701">
        <v>24.01</v>
      </c>
      <c r="BN2701">
        <v>184.09</v>
      </c>
      <c r="BO2701">
        <v>184.09</v>
      </c>
      <c r="BQ2701" t="s">
        <v>795</v>
      </c>
      <c r="BR2701" t="s">
        <v>97</v>
      </c>
      <c r="BS2701" s="3">
        <v>45957</v>
      </c>
      <c r="BT2701" s="4">
        <v>0.45069444444444445</v>
      </c>
      <c r="BU2701" t="s">
        <v>796</v>
      </c>
      <c r="BV2701" t="s">
        <v>86</v>
      </c>
      <c r="BY2701">
        <v>89678.399999999994</v>
      </c>
      <c r="CA2701" t="s">
        <v>142</v>
      </c>
      <c r="CC2701" t="s">
        <v>334</v>
      </c>
      <c r="CD2701">
        <v>6220</v>
      </c>
      <c r="CE2701" t="s">
        <v>191</v>
      </c>
      <c r="CF2701" s="3">
        <v>45957</v>
      </c>
      <c r="CI2701">
        <v>3</v>
      </c>
      <c r="CJ2701">
        <v>2</v>
      </c>
      <c r="CK2701">
        <v>41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"080068696491"</f>
        <v>080068696491</v>
      </c>
      <c r="F2702" s="3">
        <v>45953</v>
      </c>
      <c r="G2702">
        <v>202607</v>
      </c>
      <c r="H2702" t="s">
        <v>79</v>
      </c>
      <c r="I2702" t="s">
        <v>80</v>
      </c>
      <c r="J2702" t="s">
        <v>91</v>
      </c>
      <c r="K2702" t="s">
        <v>78</v>
      </c>
      <c r="L2702" t="s">
        <v>333</v>
      </c>
      <c r="M2702" t="s">
        <v>334</v>
      </c>
      <c r="N2702" t="s">
        <v>794</v>
      </c>
      <c r="O2702" t="s">
        <v>82</v>
      </c>
      <c r="P2702" t="str">
        <f>"4170065793                    "</f>
        <v xml:space="preserve">4170065793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22.36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1.4</v>
      </c>
      <c r="BK2702">
        <v>2</v>
      </c>
      <c r="BL2702">
        <v>70.959999999999994</v>
      </c>
      <c r="BM2702">
        <v>10.64</v>
      </c>
      <c r="BN2702">
        <v>81.599999999999994</v>
      </c>
      <c r="BO2702">
        <v>81.599999999999994</v>
      </c>
      <c r="BQ2702" t="s">
        <v>795</v>
      </c>
      <c r="BR2702" t="s">
        <v>97</v>
      </c>
      <c r="BS2702" s="3">
        <v>45954</v>
      </c>
      <c r="BT2702" s="4">
        <v>0.43194444444444446</v>
      </c>
      <c r="BU2702" t="s">
        <v>796</v>
      </c>
      <c r="BV2702" t="s">
        <v>86</v>
      </c>
      <c r="BY2702">
        <v>6860</v>
      </c>
      <c r="CA2702" t="s">
        <v>142</v>
      </c>
      <c r="CC2702" t="s">
        <v>334</v>
      </c>
      <c r="CD2702">
        <v>6220</v>
      </c>
      <c r="CE2702" t="s">
        <v>107</v>
      </c>
      <c r="CF2702" s="3">
        <v>45954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"080068696537"</f>
        <v>080068696537</v>
      </c>
      <c r="F2703" s="3">
        <v>45953</v>
      </c>
      <c r="G2703">
        <v>202607</v>
      </c>
      <c r="H2703" t="s">
        <v>79</v>
      </c>
      <c r="I2703" t="s">
        <v>80</v>
      </c>
      <c r="J2703" t="s">
        <v>91</v>
      </c>
      <c r="K2703" t="s">
        <v>78</v>
      </c>
      <c r="L2703" t="s">
        <v>108</v>
      </c>
      <c r="M2703" t="s">
        <v>109</v>
      </c>
      <c r="N2703" t="s">
        <v>956</v>
      </c>
      <c r="O2703" t="s">
        <v>82</v>
      </c>
      <c r="P2703" t="str">
        <f>"4170065614                    "</f>
        <v xml:space="preserve">4170065614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67.03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6</v>
      </c>
      <c r="BJ2703">
        <v>2.2999999999999998</v>
      </c>
      <c r="BK2703">
        <v>6</v>
      </c>
      <c r="BL2703">
        <v>212.75</v>
      </c>
      <c r="BM2703">
        <v>31.91</v>
      </c>
      <c r="BN2703">
        <v>244.66</v>
      </c>
      <c r="BO2703">
        <v>244.66</v>
      </c>
      <c r="BQ2703" t="s">
        <v>957</v>
      </c>
      <c r="BR2703" t="s">
        <v>97</v>
      </c>
      <c r="BS2703" s="3">
        <v>45954</v>
      </c>
      <c r="BT2703" s="4">
        <v>0.39374999999999999</v>
      </c>
      <c r="BU2703" t="s">
        <v>1144</v>
      </c>
      <c r="BV2703" t="s">
        <v>86</v>
      </c>
      <c r="BY2703">
        <v>11520</v>
      </c>
      <c r="CA2703" t="s">
        <v>1145</v>
      </c>
      <c r="CC2703" t="s">
        <v>109</v>
      </c>
      <c r="CD2703">
        <v>6001</v>
      </c>
      <c r="CE2703" t="s">
        <v>107</v>
      </c>
      <c r="CF2703" s="3">
        <v>45954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"080068696722"</f>
        <v>080068696722</v>
      </c>
      <c r="F2704" s="3">
        <v>45953</v>
      </c>
      <c r="G2704">
        <v>202607</v>
      </c>
      <c r="H2704" t="s">
        <v>79</v>
      </c>
      <c r="I2704" t="s">
        <v>80</v>
      </c>
      <c r="J2704" t="s">
        <v>91</v>
      </c>
      <c r="K2704" t="s">
        <v>78</v>
      </c>
      <c r="L2704" t="s">
        <v>121</v>
      </c>
      <c r="M2704" t="s">
        <v>122</v>
      </c>
      <c r="N2704" t="s">
        <v>154</v>
      </c>
      <c r="O2704" t="s">
        <v>82</v>
      </c>
      <c r="P2704" t="str">
        <f>"4170065858                    "</f>
        <v xml:space="preserve">4170065858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22.36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70.959999999999994</v>
      </c>
      <c r="BM2704">
        <v>10.64</v>
      </c>
      <c r="BN2704">
        <v>81.599999999999994</v>
      </c>
      <c r="BO2704">
        <v>81.599999999999994</v>
      </c>
      <c r="BQ2704" t="s">
        <v>155</v>
      </c>
      <c r="BR2704" t="s">
        <v>97</v>
      </c>
      <c r="BS2704" s="3">
        <v>45954</v>
      </c>
      <c r="BT2704" s="4">
        <v>0.40277777777777779</v>
      </c>
      <c r="BU2704" t="s">
        <v>3185</v>
      </c>
      <c r="BV2704" t="s">
        <v>86</v>
      </c>
      <c r="BY2704">
        <v>1200</v>
      </c>
      <c r="CA2704" t="s">
        <v>157</v>
      </c>
      <c r="CC2704" t="s">
        <v>122</v>
      </c>
      <c r="CD2704">
        <v>4052</v>
      </c>
      <c r="CE2704" t="s">
        <v>147</v>
      </c>
      <c r="CF2704" s="3">
        <v>45954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"080068696739"</f>
        <v>080068696739</v>
      </c>
      <c r="F2705" s="3">
        <v>45953</v>
      </c>
      <c r="G2705">
        <v>202607</v>
      </c>
      <c r="H2705" t="s">
        <v>79</v>
      </c>
      <c r="I2705" t="s">
        <v>80</v>
      </c>
      <c r="J2705" t="s">
        <v>91</v>
      </c>
      <c r="K2705" t="s">
        <v>78</v>
      </c>
      <c r="L2705" t="s">
        <v>271</v>
      </c>
      <c r="M2705" t="s">
        <v>272</v>
      </c>
      <c r="N2705" t="s">
        <v>3186</v>
      </c>
      <c r="O2705" t="s">
        <v>82</v>
      </c>
      <c r="P2705" t="str">
        <f>"4170065641                    "</f>
        <v xml:space="preserve">4170065641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17.46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55.42</v>
      </c>
      <c r="BM2705">
        <v>8.31</v>
      </c>
      <c r="BN2705">
        <v>63.73</v>
      </c>
      <c r="BO2705">
        <v>63.73</v>
      </c>
      <c r="BQ2705" t="s">
        <v>3187</v>
      </c>
      <c r="BR2705" t="s">
        <v>97</v>
      </c>
      <c r="BS2705" s="3">
        <v>45954</v>
      </c>
      <c r="BT2705" s="4">
        <v>0.38541666666666669</v>
      </c>
      <c r="BU2705" t="s">
        <v>485</v>
      </c>
      <c r="BV2705" t="s">
        <v>86</v>
      </c>
      <c r="BY2705">
        <v>1200</v>
      </c>
      <c r="CA2705" t="s">
        <v>371</v>
      </c>
      <c r="CC2705" t="s">
        <v>272</v>
      </c>
      <c r="CD2705">
        <v>1401</v>
      </c>
      <c r="CE2705" t="s">
        <v>147</v>
      </c>
      <c r="CF2705" s="3">
        <v>45954</v>
      </c>
      <c r="CI2705">
        <v>1</v>
      </c>
      <c r="CJ2705">
        <v>1</v>
      </c>
      <c r="CK2705">
        <v>22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"080068696762"</f>
        <v>080068696762</v>
      </c>
      <c r="F2706" s="3">
        <v>45953</v>
      </c>
      <c r="G2706">
        <v>202607</v>
      </c>
      <c r="H2706" t="s">
        <v>79</v>
      </c>
      <c r="I2706" t="s">
        <v>80</v>
      </c>
      <c r="J2706" t="s">
        <v>91</v>
      </c>
      <c r="K2706" t="s">
        <v>78</v>
      </c>
      <c r="L2706" t="s">
        <v>206</v>
      </c>
      <c r="M2706" t="s">
        <v>207</v>
      </c>
      <c r="N2706" t="s">
        <v>208</v>
      </c>
      <c r="O2706" t="s">
        <v>82</v>
      </c>
      <c r="P2706" t="str">
        <f>"4170065736                    "</f>
        <v xml:space="preserve">4170065736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22.36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70.959999999999994</v>
      </c>
      <c r="BM2706">
        <v>10.64</v>
      </c>
      <c r="BN2706">
        <v>81.599999999999994</v>
      </c>
      <c r="BO2706">
        <v>81.599999999999994</v>
      </c>
      <c r="BQ2706" t="s">
        <v>209</v>
      </c>
      <c r="BR2706" t="s">
        <v>97</v>
      </c>
      <c r="BS2706" s="3">
        <v>45954</v>
      </c>
      <c r="BT2706" s="4">
        <v>0.37847222222222221</v>
      </c>
      <c r="BU2706" t="s">
        <v>1732</v>
      </c>
      <c r="BV2706" t="s">
        <v>86</v>
      </c>
      <c r="BY2706">
        <v>1200</v>
      </c>
      <c r="CA2706" t="s">
        <v>211</v>
      </c>
      <c r="CC2706" t="s">
        <v>207</v>
      </c>
      <c r="CD2706">
        <v>7441</v>
      </c>
      <c r="CE2706" t="s">
        <v>147</v>
      </c>
      <c r="CF2706" s="3">
        <v>45957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"080068696780"</f>
        <v>080068696780</v>
      </c>
      <c r="F2707" s="3">
        <v>45953</v>
      </c>
      <c r="G2707">
        <v>202607</v>
      </c>
      <c r="H2707" t="s">
        <v>79</v>
      </c>
      <c r="I2707" t="s">
        <v>80</v>
      </c>
      <c r="J2707" t="s">
        <v>91</v>
      </c>
      <c r="K2707" t="s">
        <v>78</v>
      </c>
      <c r="L2707" t="s">
        <v>79</v>
      </c>
      <c r="M2707" t="s">
        <v>80</v>
      </c>
      <c r="N2707" t="s">
        <v>1040</v>
      </c>
      <c r="O2707" t="s">
        <v>82</v>
      </c>
      <c r="P2707" t="str">
        <f>"4170065697                    "</f>
        <v xml:space="preserve">4170065697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17.46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55.42</v>
      </c>
      <c r="BM2707">
        <v>8.31</v>
      </c>
      <c r="BN2707">
        <v>63.73</v>
      </c>
      <c r="BO2707">
        <v>63.73</v>
      </c>
      <c r="BQ2707" t="s">
        <v>1041</v>
      </c>
      <c r="BR2707" t="s">
        <v>97</v>
      </c>
      <c r="BS2707" s="3">
        <v>45954</v>
      </c>
      <c r="BT2707" s="4">
        <v>0.29166666666666669</v>
      </c>
      <c r="BU2707" t="s">
        <v>1662</v>
      </c>
      <c r="BV2707" t="s">
        <v>86</v>
      </c>
      <c r="BY2707">
        <v>1200</v>
      </c>
      <c r="CA2707" t="s">
        <v>166</v>
      </c>
      <c r="CC2707" t="s">
        <v>80</v>
      </c>
      <c r="CD2707">
        <v>1600</v>
      </c>
      <c r="CE2707" t="s">
        <v>147</v>
      </c>
      <c r="CF2707" s="3">
        <v>45954</v>
      </c>
      <c r="CI2707">
        <v>1</v>
      </c>
      <c r="CJ2707">
        <v>1</v>
      </c>
      <c r="CK2707">
        <v>22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"080068696798"</f>
        <v>080068696798</v>
      </c>
      <c r="F2708" s="3">
        <v>45953</v>
      </c>
      <c r="G2708">
        <v>202607</v>
      </c>
      <c r="H2708" t="s">
        <v>79</v>
      </c>
      <c r="I2708" t="s">
        <v>80</v>
      </c>
      <c r="J2708" t="s">
        <v>91</v>
      </c>
      <c r="K2708" t="s">
        <v>78</v>
      </c>
      <c r="L2708" t="s">
        <v>114</v>
      </c>
      <c r="M2708" t="s">
        <v>115</v>
      </c>
      <c r="N2708" t="s">
        <v>746</v>
      </c>
      <c r="O2708" t="s">
        <v>82</v>
      </c>
      <c r="P2708" t="str">
        <f>"4170065636                    "</f>
        <v xml:space="preserve">4170065636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22.36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70.959999999999994</v>
      </c>
      <c r="BM2708">
        <v>10.64</v>
      </c>
      <c r="BN2708">
        <v>81.599999999999994</v>
      </c>
      <c r="BO2708">
        <v>81.599999999999994</v>
      </c>
      <c r="BQ2708" t="s">
        <v>747</v>
      </c>
      <c r="BR2708" t="s">
        <v>97</v>
      </c>
      <c r="BS2708" s="3">
        <v>45954</v>
      </c>
      <c r="BT2708" s="4">
        <v>0.52083333333333337</v>
      </c>
      <c r="BU2708" t="s">
        <v>2770</v>
      </c>
      <c r="BV2708" t="s">
        <v>90</v>
      </c>
      <c r="BY2708">
        <v>1200</v>
      </c>
      <c r="CA2708" t="s">
        <v>749</v>
      </c>
      <c r="CC2708" t="s">
        <v>115</v>
      </c>
      <c r="CD2708">
        <v>5200</v>
      </c>
      <c r="CE2708" t="s">
        <v>147</v>
      </c>
      <c r="CF2708" s="3">
        <v>45956</v>
      </c>
      <c r="CI2708">
        <v>1</v>
      </c>
      <c r="CJ2708">
        <v>1</v>
      </c>
      <c r="CK2708">
        <v>21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"080068696824"</f>
        <v>080068696824</v>
      </c>
      <c r="F2709" s="3">
        <v>45953</v>
      </c>
      <c r="G2709">
        <v>202607</v>
      </c>
      <c r="H2709" t="s">
        <v>79</v>
      </c>
      <c r="I2709" t="s">
        <v>80</v>
      </c>
      <c r="J2709" t="s">
        <v>91</v>
      </c>
      <c r="K2709" t="s">
        <v>78</v>
      </c>
      <c r="L2709" t="s">
        <v>148</v>
      </c>
      <c r="M2709" t="s">
        <v>149</v>
      </c>
      <c r="N2709" t="s">
        <v>952</v>
      </c>
      <c r="O2709" t="s">
        <v>82</v>
      </c>
      <c r="P2709" t="str">
        <f>"4170065634                    "</f>
        <v xml:space="preserve">4170065634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17.46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1.1000000000000001</v>
      </c>
      <c r="BK2709">
        <v>2</v>
      </c>
      <c r="BL2709">
        <v>55.42</v>
      </c>
      <c r="BM2709">
        <v>8.31</v>
      </c>
      <c r="BN2709">
        <v>63.73</v>
      </c>
      <c r="BO2709">
        <v>63.73</v>
      </c>
      <c r="BQ2709" t="s">
        <v>953</v>
      </c>
      <c r="BR2709" t="s">
        <v>97</v>
      </c>
      <c r="BS2709" s="3">
        <v>45954</v>
      </c>
      <c r="BT2709" s="4">
        <v>0.36944444444444446</v>
      </c>
      <c r="BU2709" t="s">
        <v>1702</v>
      </c>
      <c r="BV2709" t="s">
        <v>86</v>
      </c>
      <c r="BY2709">
        <v>5320</v>
      </c>
      <c r="CA2709" t="s">
        <v>1217</v>
      </c>
      <c r="CC2709" t="s">
        <v>149</v>
      </c>
      <c r="CD2709">
        <v>2091</v>
      </c>
      <c r="CE2709" t="s">
        <v>191</v>
      </c>
      <c r="CF2709" s="3">
        <v>45955</v>
      </c>
      <c r="CI2709">
        <v>1</v>
      </c>
      <c r="CJ2709">
        <v>1</v>
      </c>
      <c r="CK2709">
        <v>22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"080068696869"</f>
        <v>080068696869</v>
      </c>
      <c r="F2710" s="3">
        <v>45953</v>
      </c>
      <c r="G2710">
        <v>202607</v>
      </c>
      <c r="H2710" t="s">
        <v>79</v>
      </c>
      <c r="I2710" t="s">
        <v>80</v>
      </c>
      <c r="J2710" t="s">
        <v>91</v>
      </c>
      <c r="K2710" t="s">
        <v>78</v>
      </c>
      <c r="L2710" t="s">
        <v>92</v>
      </c>
      <c r="M2710" t="s">
        <v>93</v>
      </c>
      <c r="N2710" t="s">
        <v>601</v>
      </c>
      <c r="O2710" t="s">
        <v>82</v>
      </c>
      <c r="P2710" t="str">
        <f>"4170065704                    "</f>
        <v xml:space="preserve">4170065704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22.36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2</v>
      </c>
      <c r="BJ2710">
        <v>2</v>
      </c>
      <c r="BK2710">
        <v>2</v>
      </c>
      <c r="BL2710">
        <v>70.959999999999994</v>
      </c>
      <c r="BM2710">
        <v>10.64</v>
      </c>
      <c r="BN2710">
        <v>81.599999999999994</v>
      </c>
      <c r="BO2710">
        <v>81.599999999999994</v>
      </c>
      <c r="BQ2710" t="s">
        <v>602</v>
      </c>
      <c r="BR2710" t="s">
        <v>97</v>
      </c>
      <c r="BS2710" s="3">
        <v>45954</v>
      </c>
      <c r="BT2710" s="4">
        <v>0.4513888888888889</v>
      </c>
      <c r="BU2710" t="s">
        <v>852</v>
      </c>
      <c r="BV2710" t="s">
        <v>86</v>
      </c>
      <c r="BY2710">
        <v>9900</v>
      </c>
      <c r="CC2710" t="s">
        <v>93</v>
      </c>
      <c r="CD2710">
        <v>3212</v>
      </c>
      <c r="CE2710" t="s">
        <v>191</v>
      </c>
      <c r="CF2710" s="3">
        <v>45955</v>
      </c>
      <c r="CI2710">
        <v>2</v>
      </c>
      <c r="CJ2710">
        <v>1</v>
      </c>
      <c r="CK2710">
        <v>21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"080068697774"</f>
        <v>080068697774</v>
      </c>
      <c r="F2711" s="3">
        <v>45953</v>
      </c>
      <c r="G2711">
        <v>202607</v>
      </c>
      <c r="H2711" t="s">
        <v>79</v>
      </c>
      <c r="I2711" t="s">
        <v>80</v>
      </c>
      <c r="J2711" t="s">
        <v>91</v>
      </c>
      <c r="K2711" t="s">
        <v>78</v>
      </c>
      <c r="L2711" t="s">
        <v>322</v>
      </c>
      <c r="M2711" t="s">
        <v>322</v>
      </c>
      <c r="N2711" t="s">
        <v>1231</v>
      </c>
      <c r="O2711" t="s">
        <v>82</v>
      </c>
      <c r="P2711" t="str">
        <f>"4170065615                    "</f>
        <v xml:space="preserve">4170065615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101.99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5</v>
      </c>
      <c r="BJ2711">
        <v>3.8</v>
      </c>
      <c r="BK2711">
        <v>5</v>
      </c>
      <c r="BL2711">
        <v>323.70999999999998</v>
      </c>
      <c r="BM2711">
        <v>48.56</v>
      </c>
      <c r="BN2711">
        <v>372.27</v>
      </c>
      <c r="BO2711">
        <v>372.27</v>
      </c>
      <c r="BQ2711" t="s">
        <v>1232</v>
      </c>
      <c r="BR2711" t="s">
        <v>97</v>
      </c>
      <c r="BS2711" s="3">
        <v>45954</v>
      </c>
      <c r="BT2711" s="4">
        <v>0.50486111111111109</v>
      </c>
      <c r="BU2711" t="s">
        <v>1233</v>
      </c>
      <c r="BV2711" t="s">
        <v>86</v>
      </c>
      <c r="BY2711">
        <v>19227</v>
      </c>
      <c r="CA2711" t="s">
        <v>326</v>
      </c>
      <c r="CC2711" t="s">
        <v>322</v>
      </c>
      <c r="CD2711">
        <v>7646</v>
      </c>
      <c r="CE2711" t="s">
        <v>191</v>
      </c>
      <c r="CF2711" s="3">
        <v>45957</v>
      </c>
      <c r="CI2711">
        <v>1</v>
      </c>
      <c r="CJ2711">
        <v>1</v>
      </c>
      <c r="CK2711">
        <v>23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"080068697801"</f>
        <v>080068697801</v>
      </c>
      <c r="F2712" s="3">
        <v>45953</v>
      </c>
      <c r="G2712">
        <v>202607</v>
      </c>
      <c r="H2712" t="s">
        <v>79</v>
      </c>
      <c r="I2712" t="s">
        <v>80</v>
      </c>
      <c r="J2712" t="s">
        <v>91</v>
      </c>
      <c r="K2712" t="s">
        <v>78</v>
      </c>
      <c r="L2712" t="s">
        <v>108</v>
      </c>
      <c r="M2712" t="s">
        <v>109</v>
      </c>
      <c r="N2712" t="s">
        <v>548</v>
      </c>
      <c r="O2712" t="s">
        <v>82</v>
      </c>
      <c r="P2712" t="str">
        <f>"4170065717                    "</f>
        <v xml:space="preserve">4170065717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22.36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1.8</v>
      </c>
      <c r="BK2712">
        <v>2</v>
      </c>
      <c r="BL2712">
        <v>70.959999999999994</v>
      </c>
      <c r="BM2712">
        <v>10.64</v>
      </c>
      <c r="BN2712">
        <v>81.599999999999994</v>
      </c>
      <c r="BO2712">
        <v>81.599999999999994</v>
      </c>
      <c r="BQ2712" t="s">
        <v>549</v>
      </c>
      <c r="BR2712" t="s">
        <v>97</v>
      </c>
      <c r="BS2712" s="3">
        <v>45954</v>
      </c>
      <c r="BT2712" s="4">
        <v>0.39305555555555555</v>
      </c>
      <c r="BU2712" t="s">
        <v>2609</v>
      </c>
      <c r="BV2712" t="s">
        <v>86</v>
      </c>
      <c r="BY2712">
        <v>8816</v>
      </c>
      <c r="CA2712" t="s">
        <v>142</v>
      </c>
      <c r="CC2712" t="s">
        <v>109</v>
      </c>
      <c r="CD2712">
        <v>6001</v>
      </c>
      <c r="CE2712" t="s">
        <v>191</v>
      </c>
      <c r="CF2712" s="3">
        <v>45954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"080068697826"</f>
        <v>080068697826</v>
      </c>
      <c r="F2713" s="3">
        <v>45953</v>
      </c>
      <c r="G2713">
        <v>202607</v>
      </c>
      <c r="H2713" t="s">
        <v>79</v>
      </c>
      <c r="I2713" t="s">
        <v>80</v>
      </c>
      <c r="J2713" t="s">
        <v>91</v>
      </c>
      <c r="K2713" t="s">
        <v>78</v>
      </c>
      <c r="L2713" t="s">
        <v>763</v>
      </c>
      <c r="M2713" t="s">
        <v>764</v>
      </c>
      <c r="N2713" t="s">
        <v>765</v>
      </c>
      <c r="O2713" t="s">
        <v>82</v>
      </c>
      <c r="P2713" t="str">
        <f>"4170065730                    "</f>
        <v xml:space="preserve">4170065730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72.650000000000006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1.7</v>
      </c>
      <c r="BJ2713">
        <v>3.1</v>
      </c>
      <c r="BK2713">
        <v>3.5</v>
      </c>
      <c r="BL2713">
        <v>230.59</v>
      </c>
      <c r="BM2713">
        <v>34.590000000000003</v>
      </c>
      <c r="BN2713">
        <v>265.18</v>
      </c>
      <c r="BO2713">
        <v>265.18</v>
      </c>
      <c r="BQ2713" t="s">
        <v>766</v>
      </c>
      <c r="BR2713" t="s">
        <v>97</v>
      </c>
      <c r="BS2713" s="3">
        <v>45954</v>
      </c>
      <c r="BT2713" s="4">
        <v>0.46666666666666667</v>
      </c>
      <c r="BU2713" t="s">
        <v>2625</v>
      </c>
      <c r="BV2713" t="s">
        <v>86</v>
      </c>
      <c r="BY2713">
        <v>15375.69</v>
      </c>
      <c r="CA2713" t="s">
        <v>768</v>
      </c>
      <c r="CC2713" t="s">
        <v>764</v>
      </c>
      <c r="CD2713">
        <v>2531</v>
      </c>
      <c r="CE2713" t="s">
        <v>107</v>
      </c>
      <c r="CF2713" s="3">
        <v>45957</v>
      </c>
      <c r="CI2713">
        <v>1</v>
      </c>
      <c r="CJ2713">
        <v>1</v>
      </c>
      <c r="CK2713">
        <v>23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"080068697852"</f>
        <v>080068697852</v>
      </c>
      <c r="F2714" s="3">
        <v>45953</v>
      </c>
      <c r="G2714">
        <v>202607</v>
      </c>
      <c r="H2714" t="s">
        <v>79</v>
      </c>
      <c r="I2714" t="s">
        <v>80</v>
      </c>
      <c r="J2714" t="s">
        <v>91</v>
      </c>
      <c r="K2714" t="s">
        <v>78</v>
      </c>
      <c r="L2714" t="s">
        <v>79</v>
      </c>
      <c r="M2714" t="s">
        <v>80</v>
      </c>
      <c r="N2714" t="s">
        <v>357</v>
      </c>
      <c r="O2714" t="s">
        <v>226</v>
      </c>
      <c r="P2714" t="str">
        <f>"4170065676                    "</f>
        <v xml:space="preserve">4170065676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17.47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3.4</v>
      </c>
      <c r="BK2714">
        <v>4</v>
      </c>
      <c r="BL2714">
        <v>55.44</v>
      </c>
      <c r="BM2714">
        <v>8.32</v>
      </c>
      <c r="BN2714">
        <v>63.76</v>
      </c>
      <c r="BO2714">
        <v>63.76</v>
      </c>
      <c r="BQ2714" t="s">
        <v>358</v>
      </c>
      <c r="BR2714" t="s">
        <v>97</v>
      </c>
      <c r="BS2714" s="3">
        <v>45954</v>
      </c>
      <c r="BT2714" s="4">
        <v>0.42152777777777778</v>
      </c>
      <c r="BU2714" t="s">
        <v>1254</v>
      </c>
      <c r="BV2714" t="s">
        <v>86</v>
      </c>
      <c r="BY2714">
        <v>16965</v>
      </c>
      <c r="CA2714" t="s">
        <v>3158</v>
      </c>
      <c r="CC2714" t="s">
        <v>80</v>
      </c>
      <c r="CD2714">
        <v>1645</v>
      </c>
      <c r="CE2714" t="s">
        <v>191</v>
      </c>
      <c r="CF2714" s="3">
        <v>45955</v>
      </c>
      <c r="CI2714">
        <v>1</v>
      </c>
      <c r="CJ2714">
        <v>1</v>
      </c>
      <c r="CK2714">
        <v>32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"080068697871"</f>
        <v>080068697871</v>
      </c>
      <c r="F2715" s="3">
        <v>45953</v>
      </c>
      <c r="G2715">
        <v>202607</v>
      </c>
      <c r="H2715" t="s">
        <v>79</v>
      </c>
      <c r="I2715" t="s">
        <v>80</v>
      </c>
      <c r="J2715" t="s">
        <v>91</v>
      </c>
      <c r="K2715" t="s">
        <v>78</v>
      </c>
      <c r="L2715" t="s">
        <v>763</v>
      </c>
      <c r="M2715" t="s">
        <v>764</v>
      </c>
      <c r="N2715" t="s">
        <v>765</v>
      </c>
      <c r="O2715" t="s">
        <v>82</v>
      </c>
      <c r="P2715" t="str">
        <f>"4170065635                    "</f>
        <v xml:space="preserve">4170065635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62.87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1.3</v>
      </c>
      <c r="BJ2715">
        <v>3</v>
      </c>
      <c r="BK2715">
        <v>3</v>
      </c>
      <c r="BL2715">
        <v>199.55</v>
      </c>
      <c r="BM2715">
        <v>29.93</v>
      </c>
      <c r="BN2715">
        <v>229.48</v>
      </c>
      <c r="BO2715">
        <v>229.48</v>
      </c>
      <c r="BQ2715" t="s">
        <v>766</v>
      </c>
      <c r="BR2715" t="s">
        <v>97</v>
      </c>
      <c r="BS2715" s="3">
        <v>45954</v>
      </c>
      <c r="BT2715" s="4">
        <v>0.46666666666666667</v>
      </c>
      <c r="BU2715" t="s">
        <v>1003</v>
      </c>
      <c r="BV2715" t="s">
        <v>86</v>
      </c>
      <c r="BY2715">
        <v>14793.48</v>
      </c>
      <c r="CA2715" t="s">
        <v>768</v>
      </c>
      <c r="CC2715" t="s">
        <v>764</v>
      </c>
      <c r="CD2715">
        <v>2531</v>
      </c>
      <c r="CE2715" t="s">
        <v>191</v>
      </c>
      <c r="CF2715" s="3">
        <v>45957</v>
      </c>
      <c r="CI2715">
        <v>1</v>
      </c>
      <c r="CJ2715">
        <v>1</v>
      </c>
      <c r="CK2715">
        <v>23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"080068697903"</f>
        <v>080068697903</v>
      </c>
      <c r="F2716" s="3">
        <v>45953</v>
      </c>
      <c r="G2716">
        <v>202607</v>
      </c>
      <c r="H2716" t="s">
        <v>79</v>
      </c>
      <c r="I2716" t="s">
        <v>80</v>
      </c>
      <c r="J2716" t="s">
        <v>91</v>
      </c>
      <c r="K2716" t="s">
        <v>78</v>
      </c>
      <c r="L2716" t="s">
        <v>79</v>
      </c>
      <c r="M2716" t="s">
        <v>80</v>
      </c>
      <c r="N2716" t="s">
        <v>3188</v>
      </c>
      <c r="O2716" t="s">
        <v>226</v>
      </c>
      <c r="P2716" t="str">
        <f>"4170065857                    "</f>
        <v xml:space="preserve">4170065857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17.47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3.4</v>
      </c>
      <c r="BK2716">
        <v>4</v>
      </c>
      <c r="BL2716">
        <v>55.44</v>
      </c>
      <c r="BM2716">
        <v>8.32</v>
      </c>
      <c r="BN2716">
        <v>63.76</v>
      </c>
      <c r="BO2716">
        <v>63.76</v>
      </c>
      <c r="BQ2716" t="s">
        <v>3189</v>
      </c>
      <c r="BR2716" t="s">
        <v>97</v>
      </c>
      <c r="BS2716" s="3">
        <v>45954</v>
      </c>
      <c r="BT2716" s="4">
        <v>0.62152777777777779</v>
      </c>
      <c r="BU2716" t="s">
        <v>3190</v>
      </c>
      <c r="BV2716" t="s">
        <v>86</v>
      </c>
      <c r="BY2716">
        <v>16965</v>
      </c>
      <c r="CA2716" t="s">
        <v>166</v>
      </c>
      <c r="CC2716" t="s">
        <v>80</v>
      </c>
      <c r="CD2716">
        <v>1600</v>
      </c>
      <c r="CE2716" t="s">
        <v>191</v>
      </c>
      <c r="CF2716" s="3">
        <v>45954</v>
      </c>
      <c r="CI2716">
        <v>1</v>
      </c>
      <c r="CJ2716">
        <v>1</v>
      </c>
      <c r="CK2716">
        <v>32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"080068697942"</f>
        <v>080068697942</v>
      </c>
      <c r="F2717" s="3">
        <v>45953</v>
      </c>
      <c r="G2717">
        <v>202607</v>
      </c>
      <c r="H2717" t="s">
        <v>79</v>
      </c>
      <c r="I2717" t="s">
        <v>80</v>
      </c>
      <c r="J2717" t="s">
        <v>91</v>
      </c>
      <c r="K2717" t="s">
        <v>78</v>
      </c>
      <c r="L2717" t="s">
        <v>206</v>
      </c>
      <c r="M2717" t="s">
        <v>207</v>
      </c>
      <c r="N2717" t="s">
        <v>656</v>
      </c>
      <c r="O2717" t="s">
        <v>82</v>
      </c>
      <c r="P2717" t="str">
        <f>"4170065721                    "</f>
        <v xml:space="preserve">4170065721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55.86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1.1000000000000001</v>
      </c>
      <c r="BK2717">
        <v>5</v>
      </c>
      <c r="BL2717">
        <v>177.3</v>
      </c>
      <c r="BM2717">
        <v>26.6</v>
      </c>
      <c r="BN2717">
        <v>203.9</v>
      </c>
      <c r="BO2717">
        <v>203.9</v>
      </c>
      <c r="BQ2717" t="s">
        <v>657</v>
      </c>
      <c r="BR2717" t="s">
        <v>97</v>
      </c>
      <c r="BS2717" s="3">
        <v>45954</v>
      </c>
      <c r="BT2717" s="4">
        <v>0.39861111111111114</v>
      </c>
      <c r="BU2717" t="s">
        <v>658</v>
      </c>
      <c r="BV2717" t="s">
        <v>86</v>
      </c>
      <c r="BY2717">
        <v>5510</v>
      </c>
      <c r="CA2717" t="s">
        <v>211</v>
      </c>
      <c r="CC2717" t="s">
        <v>207</v>
      </c>
      <c r="CD2717">
        <v>7405</v>
      </c>
      <c r="CE2717" t="s">
        <v>191</v>
      </c>
      <c r="CF2717" s="3">
        <v>45957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"080068697971"</f>
        <v>080068697971</v>
      </c>
      <c r="F2718" s="3">
        <v>45953</v>
      </c>
      <c r="G2718">
        <v>202607</v>
      </c>
      <c r="H2718" t="s">
        <v>79</v>
      </c>
      <c r="I2718" t="s">
        <v>80</v>
      </c>
      <c r="J2718" t="s">
        <v>91</v>
      </c>
      <c r="K2718" t="s">
        <v>78</v>
      </c>
      <c r="L2718" t="s">
        <v>333</v>
      </c>
      <c r="M2718" t="s">
        <v>334</v>
      </c>
      <c r="N2718" t="s">
        <v>1388</v>
      </c>
      <c r="O2718" t="s">
        <v>82</v>
      </c>
      <c r="P2718" t="str">
        <f>"4170065747                    "</f>
        <v xml:space="preserve">4170065747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22.36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0.7</v>
      </c>
      <c r="BK2718">
        <v>1</v>
      </c>
      <c r="BL2718">
        <v>70.959999999999994</v>
      </c>
      <c r="BM2718">
        <v>10.64</v>
      </c>
      <c r="BN2718">
        <v>81.599999999999994</v>
      </c>
      <c r="BO2718">
        <v>81.599999999999994</v>
      </c>
      <c r="BQ2718" t="s">
        <v>1389</v>
      </c>
      <c r="BR2718" t="s">
        <v>97</v>
      </c>
      <c r="BS2718" s="3">
        <v>45954</v>
      </c>
      <c r="BT2718" s="4">
        <v>0.43263888888888891</v>
      </c>
      <c r="BU2718" t="s">
        <v>2624</v>
      </c>
      <c r="BV2718" t="s">
        <v>86</v>
      </c>
      <c r="BY2718">
        <v>3306</v>
      </c>
      <c r="CA2718" t="s">
        <v>142</v>
      </c>
      <c r="CC2718" t="s">
        <v>334</v>
      </c>
      <c r="CD2718">
        <v>6220</v>
      </c>
      <c r="CE2718" t="s">
        <v>191</v>
      </c>
      <c r="CF2718" s="3">
        <v>45954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"080068698005"</f>
        <v>080068698005</v>
      </c>
      <c r="F2719" s="3">
        <v>45953</v>
      </c>
      <c r="G2719">
        <v>202607</v>
      </c>
      <c r="H2719" t="s">
        <v>79</v>
      </c>
      <c r="I2719" t="s">
        <v>80</v>
      </c>
      <c r="J2719" t="s">
        <v>91</v>
      </c>
      <c r="K2719" t="s">
        <v>78</v>
      </c>
      <c r="L2719" t="s">
        <v>446</v>
      </c>
      <c r="M2719" t="s">
        <v>447</v>
      </c>
      <c r="N2719" t="s">
        <v>448</v>
      </c>
      <c r="O2719" t="s">
        <v>82</v>
      </c>
      <c r="P2719" t="str">
        <f>"4170065677                    "</f>
        <v xml:space="preserve">4170065677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62.87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3</v>
      </c>
      <c r="BJ2719">
        <v>1.8</v>
      </c>
      <c r="BK2719">
        <v>3</v>
      </c>
      <c r="BL2719">
        <v>199.55</v>
      </c>
      <c r="BM2719">
        <v>29.93</v>
      </c>
      <c r="BN2719">
        <v>229.48</v>
      </c>
      <c r="BO2719">
        <v>229.48</v>
      </c>
      <c r="BQ2719" t="s">
        <v>449</v>
      </c>
      <c r="BR2719" t="s">
        <v>97</v>
      </c>
      <c r="BS2719" s="3">
        <v>45954</v>
      </c>
      <c r="BT2719" s="4">
        <v>0.48680555555555555</v>
      </c>
      <c r="BU2719" t="s">
        <v>450</v>
      </c>
      <c r="BV2719" t="s">
        <v>86</v>
      </c>
      <c r="BY2719">
        <v>8816</v>
      </c>
      <c r="CA2719" t="s">
        <v>1124</v>
      </c>
      <c r="CC2719" t="s">
        <v>447</v>
      </c>
      <c r="CD2719">
        <v>7130</v>
      </c>
      <c r="CE2719" t="s">
        <v>191</v>
      </c>
      <c r="CF2719" s="3">
        <v>45957</v>
      </c>
      <c r="CI2719">
        <v>1</v>
      </c>
      <c r="CJ2719">
        <v>1</v>
      </c>
      <c r="CK2719">
        <v>23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"080068698026"</f>
        <v>080068698026</v>
      </c>
      <c r="F2720" s="3">
        <v>45953</v>
      </c>
      <c r="G2720">
        <v>202607</v>
      </c>
      <c r="H2720" t="s">
        <v>79</v>
      </c>
      <c r="I2720" t="s">
        <v>80</v>
      </c>
      <c r="J2720" t="s">
        <v>91</v>
      </c>
      <c r="K2720" t="s">
        <v>78</v>
      </c>
      <c r="L2720" t="s">
        <v>322</v>
      </c>
      <c r="M2720" t="s">
        <v>322</v>
      </c>
      <c r="N2720" t="s">
        <v>483</v>
      </c>
      <c r="O2720" t="s">
        <v>82</v>
      </c>
      <c r="P2720" t="str">
        <f>"4170065785                    "</f>
        <v xml:space="preserve">4170065785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82.43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4</v>
      </c>
      <c r="BJ2720">
        <v>1.9</v>
      </c>
      <c r="BK2720">
        <v>4</v>
      </c>
      <c r="BL2720">
        <v>261.63</v>
      </c>
      <c r="BM2720">
        <v>39.24</v>
      </c>
      <c r="BN2720">
        <v>300.87</v>
      </c>
      <c r="BO2720">
        <v>300.87</v>
      </c>
      <c r="BQ2720" t="s">
        <v>486</v>
      </c>
      <c r="BR2720" t="s">
        <v>97</v>
      </c>
      <c r="BS2720" s="3">
        <v>45954</v>
      </c>
      <c r="BT2720" s="4">
        <v>0.50069444444444444</v>
      </c>
      <c r="BU2720" t="s">
        <v>485</v>
      </c>
      <c r="BV2720" t="s">
        <v>86</v>
      </c>
      <c r="BY2720">
        <v>9576</v>
      </c>
      <c r="CA2720" t="s">
        <v>326</v>
      </c>
      <c r="CC2720" t="s">
        <v>322</v>
      </c>
      <c r="CD2720">
        <v>7646</v>
      </c>
      <c r="CE2720" t="s">
        <v>191</v>
      </c>
      <c r="CF2720" s="3">
        <v>45957</v>
      </c>
      <c r="CI2720">
        <v>1</v>
      </c>
      <c r="CJ2720">
        <v>1</v>
      </c>
      <c r="CK2720">
        <v>23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"080068698035"</f>
        <v>080068698035</v>
      </c>
      <c r="F2721" s="3">
        <v>45953</v>
      </c>
      <c r="G2721">
        <v>202607</v>
      </c>
      <c r="H2721" t="s">
        <v>79</v>
      </c>
      <c r="I2721" t="s">
        <v>80</v>
      </c>
      <c r="J2721" t="s">
        <v>91</v>
      </c>
      <c r="K2721" t="s">
        <v>78</v>
      </c>
      <c r="L2721" t="s">
        <v>148</v>
      </c>
      <c r="M2721" t="s">
        <v>149</v>
      </c>
      <c r="N2721" t="s">
        <v>465</v>
      </c>
      <c r="O2721" t="s">
        <v>226</v>
      </c>
      <c r="P2721" t="str">
        <f>"4170065784                    "</f>
        <v xml:space="preserve">4170065784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17.47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3.4</v>
      </c>
      <c r="BK2721">
        <v>4</v>
      </c>
      <c r="BL2721">
        <v>55.44</v>
      </c>
      <c r="BM2721">
        <v>8.32</v>
      </c>
      <c r="BN2721">
        <v>63.76</v>
      </c>
      <c r="BO2721">
        <v>63.76</v>
      </c>
      <c r="BQ2721" t="s">
        <v>466</v>
      </c>
      <c r="BR2721" t="s">
        <v>97</v>
      </c>
      <c r="BS2721" s="3">
        <v>45954</v>
      </c>
      <c r="BT2721" s="4">
        <v>0.37152777777777779</v>
      </c>
      <c r="BU2721" t="s">
        <v>1658</v>
      </c>
      <c r="BV2721" t="s">
        <v>86</v>
      </c>
      <c r="BY2721">
        <v>16965</v>
      </c>
      <c r="CA2721" t="s">
        <v>2853</v>
      </c>
      <c r="CC2721" t="s">
        <v>149</v>
      </c>
      <c r="CD2721">
        <v>2094</v>
      </c>
      <c r="CE2721" t="s">
        <v>191</v>
      </c>
      <c r="CF2721" s="3">
        <v>45954</v>
      </c>
      <c r="CI2721">
        <v>1</v>
      </c>
      <c r="CJ2721">
        <v>1</v>
      </c>
      <c r="CK2721">
        <v>32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"080068698068"</f>
        <v>080068698068</v>
      </c>
      <c r="F2722" s="3">
        <v>45953</v>
      </c>
      <c r="G2722">
        <v>202607</v>
      </c>
      <c r="H2722" t="s">
        <v>79</v>
      </c>
      <c r="I2722" t="s">
        <v>80</v>
      </c>
      <c r="J2722" t="s">
        <v>91</v>
      </c>
      <c r="K2722" t="s">
        <v>78</v>
      </c>
      <c r="L2722" t="s">
        <v>108</v>
      </c>
      <c r="M2722" t="s">
        <v>109</v>
      </c>
      <c r="N2722" t="s">
        <v>312</v>
      </c>
      <c r="O2722" t="s">
        <v>82</v>
      </c>
      <c r="P2722" t="str">
        <f>"4170065842                    "</f>
        <v xml:space="preserve">4170065842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22.36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1.1000000000000001</v>
      </c>
      <c r="BK2722">
        <v>1.5</v>
      </c>
      <c r="BL2722">
        <v>70.959999999999994</v>
      </c>
      <c r="BM2722">
        <v>10.64</v>
      </c>
      <c r="BN2722">
        <v>81.599999999999994</v>
      </c>
      <c r="BO2722">
        <v>81.599999999999994</v>
      </c>
      <c r="BQ2722" t="s">
        <v>313</v>
      </c>
      <c r="BR2722" t="s">
        <v>97</v>
      </c>
      <c r="BS2722" s="3">
        <v>45954</v>
      </c>
      <c r="BT2722" s="4">
        <v>0.42430555555555555</v>
      </c>
      <c r="BU2722" t="s">
        <v>3191</v>
      </c>
      <c r="BV2722" t="s">
        <v>86</v>
      </c>
      <c r="BY2722">
        <v>5320</v>
      </c>
      <c r="CA2722" t="s">
        <v>142</v>
      </c>
      <c r="CC2722" t="s">
        <v>109</v>
      </c>
      <c r="CD2722">
        <v>6001</v>
      </c>
      <c r="CE2722" t="s">
        <v>191</v>
      </c>
      <c r="CF2722" s="3">
        <v>45954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"080068698080"</f>
        <v>080068698080</v>
      </c>
      <c r="F2723" s="3">
        <v>45953</v>
      </c>
      <c r="G2723">
        <v>202607</v>
      </c>
      <c r="H2723" t="s">
        <v>79</v>
      </c>
      <c r="I2723" t="s">
        <v>80</v>
      </c>
      <c r="J2723" t="s">
        <v>91</v>
      </c>
      <c r="K2723" t="s">
        <v>78</v>
      </c>
      <c r="L2723" t="s">
        <v>223</v>
      </c>
      <c r="M2723" t="s">
        <v>224</v>
      </c>
      <c r="N2723" t="s">
        <v>652</v>
      </c>
      <c r="O2723" t="s">
        <v>226</v>
      </c>
      <c r="P2723" t="str">
        <f>"4170065620                    "</f>
        <v xml:space="preserve">4170065620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27.26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8</v>
      </c>
      <c r="BJ2723">
        <v>12.9</v>
      </c>
      <c r="BK2723">
        <v>13</v>
      </c>
      <c r="BL2723">
        <v>86.53</v>
      </c>
      <c r="BM2723">
        <v>12.98</v>
      </c>
      <c r="BN2723">
        <v>99.51</v>
      </c>
      <c r="BO2723">
        <v>99.51</v>
      </c>
      <c r="BQ2723" t="s">
        <v>653</v>
      </c>
      <c r="BR2723" t="s">
        <v>97</v>
      </c>
      <c r="BS2723" s="3">
        <v>45954</v>
      </c>
      <c r="BT2723" s="4">
        <v>0.49236111111111114</v>
      </c>
      <c r="BU2723" t="s">
        <v>2902</v>
      </c>
      <c r="BV2723" t="s">
        <v>86</v>
      </c>
      <c r="BY2723">
        <v>64320</v>
      </c>
      <c r="CA2723" t="s">
        <v>508</v>
      </c>
      <c r="CC2723" t="s">
        <v>224</v>
      </c>
      <c r="CD2723">
        <v>1460</v>
      </c>
      <c r="CE2723" t="s">
        <v>107</v>
      </c>
      <c r="CF2723" s="3">
        <v>45954</v>
      </c>
      <c r="CI2723">
        <v>1</v>
      </c>
      <c r="CJ2723">
        <v>1</v>
      </c>
      <c r="CK2723">
        <v>32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"080068698094"</f>
        <v>080068698094</v>
      </c>
      <c r="F2724" s="3">
        <v>45953</v>
      </c>
      <c r="G2724">
        <v>202607</v>
      </c>
      <c r="H2724" t="s">
        <v>79</v>
      </c>
      <c r="I2724" t="s">
        <v>80</v>
      </c>
      <c r="J2724" t="s">
        <v>91</v>
      </c>
      <c r="K2724" t="s">
        <v>78</v>
      </c>
      <c r="L2724" t="s">
        <v>218</v>
      </c>
      <c r="M2724" t="s">
        <v>219</v>
      </c>
      <c r="N2724" t="s">
        <v>1431</v>
      </c>
      <c r="O2724" t="s">
        <v>82</v>
      </c>
      <c r="P2724" t="str">
        <f>"4170065758                    "</f>
        <v xml:space="preserve">4170065758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17.46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2</v>
      </c>
      <c r="BJ2724">
        <v>4.0999999999999996</v>
      </c>
      <c r="BK2724">
        <v>5</v>
      </c>
      <c r="BL2724">
        <v>55.42</v>
      </c>
      <c r="BM2724">
        <v>8.31</v>
      </c>
      <c r="BN2724">
        <v>63.73</v>
      </c>
      <c r="BO2724">
        <v>63.73</v>
      </c>
      <c r="BQ2724" t="s">
        <v>1432</v>
      </c>
      <c r="BR2724" t="s">
        <v>97</v>
      </c>
      <c r="BS2724" s="3">
        <v>45954</v>
      </c>
      <c r="BT2724" s="4">
        <v>0.32708333333333334</v>
      </c>
      <c r="BU2724" t="s">
        <v>2650</v>
      </c>
      <c r="BV2724" t="s">
        <v>86</v>
      </c>
      <c r="BY2724">
        <v>20358</v>
      </c>
      <c r="CA2724" t="s">
        <v>1434</v>
      </c>
      <c r="CC2724" t="s">
        <v>219</v>
      </c>
      <c r="CD2724">
        <v>1559</v>
      </c>
      <c r="CE2724" t="s">
        <v>191</v>
      </c>
      <c r="CF2724" s="3">
        <v>45954</v>
      </c>
      <c r="CI2724">
        <v>1</v>
      </c>
      <c r="CJ2724">
        <v>1</v>
      </c>
      <c r="CK2724">
        <v>22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"080068698144"</f>
        <v>080068698144</v>
      </c>
      <c r="F2725" s="3">
        <v>45953</v>
      </c>
      <c r="G2725">
        <v>202607</v>
      </c>
      <c r="H2725" t="s">
        <v>79</v>
      </c>
      <c r="I2725" t="s">
        <v>80</v>
      </c>
      <c r="J2725" t="s">
        <v>91</v>
      </c>
      <c r="K2725" t="s">
        <v>78</v>
      </c>
      <c r="L2725" t="s">
        <v>148</v>
      </c>
      <c r="M2725" t="s">
        <v>149</v>
      </c>
      <c r="N2725" t="s">
        <v>465</v>
      </c>
      <c r="O2725" t="s">
        <v>82</v>
      </c>
      <c r="P2725" t="str">
        <f>"4170065694                    "</f>
        <v xml:space="preserve">4170065694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17.46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2</v>
      </c>
      <c r="BJ2725">
        <v>4.0999999999999996</v>
      </c>
      <c r="BK2725">
        <v>5</v>
      </c>
      <c r="BL2725">
        <v>55.42</v>
      </c>
      <c r="BM2725">
        <v>8.31</v>
      </c>
      <c r="BN2725">
        <v>63.73</v>
      </c>
      <c r="BO2725">
        <v>63.73</v>
      </c>
      <c r="BQ2725" t="s">
        <v>466</v>
      </c>
      <c r="BR2725" t="s">
        <v>97</v>
      </c>
      <c r="BS2725" s="3">
        <v>45954</v>
      </c>
      <c r="BT2725" s="4">
        <v>0.37152777777777779</v>
      </c>
      <c r="BU2725" t="s">
        <v>1658</v>
      </c>
      <c r="BV2725" t="s">
        <v>86</v>
      </c>
      <c r="BY2725">
        <v>20358</v>
      </c>
      <c r="CA2725" t="s">
        <v>2853</v>
      </c>
      <c r="CC2725" t="s">
        <v>149</v>
      </c>
      <c r="CD2725">
        <v>2094</v>
      </c>
      <c r="CE2725" t="s">
        <v>191</v>
      </c>
      <c r="CF2725" s="3">
        <v>45954</v>
      </c>
      <c r="CI2725">
        <v>1</v>
      </c>
      <c r="CJ2725">
        <v>1</v>
      </c>
      <c r="CK2725">
        <v>22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"080068698173"</f>
        <v>080068698173</v>
      </c>
      <c r="F2726" s="3">
        <v>45953</v>
      </c>
      <c r="G2726">
        <v>202607</v>
      </c>
      <c r="H2726" t="s">
        <v>79</v>
      </c>
      <c r="I2726" t="s">
        <v>80</v>
      </c>
      <c r="J2726" t="s">
        <v>91</v>
      </c>
      <c r="K2726" t="s">
        <v>78</v>
      </c>
      <c r="L2726" t="s">
        <v>108</v>
      </c>
      <c r="M2726" t="s">
        <v>109</v>
      </c>
      <c r="N2726" t="s">
        <v>312</v>
      </c>
      <c r="O2726" t="s">
        <v>82</v>
      </c>
      <c r="P2726" t="str">
        <f>"4170065735                    "</f>
        <v xml:space="preserve">4170065735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22.36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70.959999999999994</v>
      </c>
      <c r="BM2726">
        <v>10.64</v>
      </c>
      <c r="BN2726">
        <v>81.599999999999994</v>
      </c>
      <c r="BO2726">
        <v>81.599999999999994</v>
      </c>
      <c r="BQ2726" t="s">
        <v>313</v>
      </c>
      <c r="BR2726" t="s">
        <v>97</v>
      </c>
      <c r="BS2726" s="3">
        <v>45954</v>
      </c>
      <c r="BT2726" s="4">
        <v>0.41736111111111113</v>
      </c>
      <c r="BU2726" t="s">
        <v>3192</v>
      </c>
      <c r="BV2726" t="s">
        <v>86</v>
      </c>
      <c r="BY2726">
        <v>1200</v>
      </c>
      <c r="CA2726" t="s">
        <v>762</v>
      </c>
      <c r="CC2726" t="s">
        <v>109</v>
      </c>
      <c r="CD2726">
        <v>6001</v>
      </c>
      <c r="CE2726" t="s">
        <v>147</v>
      </c>
      <c r="CF2726" s="3">
        <v>45954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"080068698201"</f>
        <v>080068698201</v>
      </c>
      <c r="F2727" s="3">
        <v>45953</v>
      </c>
      <c r="G2727">
        <v>202607</v>
      </c>
      <c r="H2727" t="s">
        <v>79</v>
      </c>
      <c r="I2727" t="s">
        <v>80</v>
      </c>
      <c r="J2727" t="s">
        <v>91</v>
      </c>
      <c r="K2727" t="s">
        <v>78</v>
      </c>
      <c r="L2727" t="s">
        <v>246</v>
      </c>
      <c r="M2727" t="s">
        <v>247</v>
      </c>
      <c r="N2727" t="s">
        <v>248</v>
      </c>
      <c r="O2727" t="s">
        <v>82</v>
      </c>
      <c r="P2727" t="str">
        <f>"4170065688                    "</f>
        <v xml:space="preserve">4170065688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43.31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16.739999999999998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154.21</v>
      </c>
      <c r="BM2727">
        <v>23.13</v>
      </c>
      <c r="BN2727">
        <v>177.34</v>
      </c>
      <c r="BO2727">
        <v>177.34</v>
      </c>
      <c r="BQ2727" t="s">
        <v>249</v>
      </c>
      <c r="BR2727" t="s">
        <v>97</v>
      </c>
      <c r="BS2727" s="3">
        <v>45954</v>
      </c>
      <c r="BT2727" s="4">
        <v>0.4861111111111111</v>
      </c>
      <c r="BU2727" t="s">
        <v>3155</v>
      </c>
      <c r="BV2727" t="s">
        <v>86</v>
      </c>
      <c r="BY2727">
        <v>1200</v>
      </c>
      <c r="BZ2727" t="s">
        <v>30</v>
      </c>
      <c r="CC2727" t="s">
        <v>247</v>
      </c>
      <c r="CD2727" s="5" t="s">
        <v>252</v>
      </c>
      <c r="CE2727" t="s">
        <v>147</v>
      </c>
      <c r="CF2727" s="3">
        <v>45957</v>
      </c>
      <c r="CI2727">
        <v>1</v>
      </c>
      <c r="CJ2727">
        <v>1</v>
      </c>
      <c r="CK2727">
        <v>23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"080068698233"</f>
        <v>080068698233</v>
      </c>
      <c r="F2728" s="3">
        <v>45953</v>
      </c>
      <c r="G2728">
        <v>202607</v>
      </c>
      <c r="H2728" t="s">
        <v>79</v>
      </c>
      <c r="I2728" t="s">
        <v>80</v>
      </c>
      <c r="J2728" t="s">
        <v>91</v>
      </c>
      <c r="K2728" t="s">
        <v>78</v>
      </c>
      <c r="L2728" t="s">
        <v>453</v>
      </c>
      <c r="M2728" t="s">
        <v>454</v>
      </c>
      <c r="N2728" t="s">
        <v>639</v>
      </c>
      <c r="O2728" t="s">
        <v>82</v>
      </c>
      <c r="P2728" t="str">
        <f>"4170065789                    "</f>
        <v xml:space="preserve">4170065789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22.36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70.959999999999994</v>
      </c>
      <c r="BM2728">
        <v>10.64</v>
      </c>
      <c r="BN2728">
        <v>81.599999999999994</v>
      </c>
      <c r="BO2728">
        <v>81.599999999999994</v>
      </c>
      <c r="BQ2728" t="s">
        <v>640</v>
      </c>
      <c r="BR2728" t="s">
        <v>97</v>
      </c>
      <c r="BS2728" s="3">
        <v>45954</v>
      </c>
      <c r="BT2728" s="4">
        <v>0.38263888888888886</v>
      </c>
      <c r="BU2728" t="s">
        <v>641</v>
      </c>
      <c r="BV2728" t="s">
        <v>86</v>
      </c>
      <c r="BY2728">
        <v>1200</v>
      </c>
      <c r="CA2728" t="s">
        <v>457</v>
      </c>
      <c r="CC2728" t="s">
        <v>454</v>
      </c>
      <c r="CD2728">
        <v>3610</v>
      </c>
      <c r="CE2728" t="s">
        <v>147</v>
      </c>
      <c r="CF2728" s="3">
        <v>45954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"080068698273"</f>
        <v>080068698273</v>
      </c>
      <c r="F2729" s="3">
        <v>45953</v>
      </c>
      <c r="G2729">
        <v>202607</v>
      </c>
      <c r="H2729" t="s">
        <v>79</v>
      </c>
      <c r="I2729" t="s">
        <v>80</v>
      </c>
      <c r="J2729" t="s">
        <v>91</v>
      </c>
      <c r="K2729" t="s">
        <v>78</v>
      </c>
      <c r="L2729" t="s">
        <v>108</v>
      </c>
      <c r="M2729" t="s">
        <v>109</v>
      </c>
      <c r="N2729" t="s">
        <v>556</v>
      </c>
      <c r="O2729" t="s">
        <v>82</v>
      </c>
      <c r="P2729" t="str">
        <f>"4170065729                    "</f>
        <v xml:space="preserve">4170065729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22.36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70.959999999999994</v>
      </c>
      <c r="BM2729">
        <v>10.64</v>
      </c>
      <c r="BN2729">
        <v>81.599999999999994</v>
      </c>
      <c r="BO2729">
        <v>81.599999999999994</v>
      </c>
      <c r="BQ2729" t="s">
        <v>557</v>
      </c>
      <c r="BR2729" t="s">
        <v>97</v>
      </c>
      <c r="BS2729" s="3">
        <v>45954</v>
      </c>
      <c r="BT2729" s="4">
        <v>0.41944444444444445</v>
      </c>
      <c r="BU2729" t="s">
        <v>3173</v>
      </c>
      <c r="BV2729" t="s">
        <v>86</v>
      </c>
      <c r="BY2729">
        <v>1200</v>
      </c>
      <c r="CA2729" t="s">
        <v>559</v>
      </c>
      <c r="CC2729" t="s">
        <v>109</v>
      </c>
      <c r="CD2729">
        <v>6001</v>
      </c>
      <c r="CE2729" t="s">
        <v>147</v>
      </c>
      <c r="CF2729" s="3">
        <v>45954</v>
      </c>
      <c r="CI2729">
        <v>1</v>
      </c>
      <c r="CJ2729">
        <v>1</v>
      </c>
      <c r="CK2729">
        <v>21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"080068698317"</f>
        <v>080068698317</v>
      </c>
      <c r="F2730" s="3">
        <v>45953</v>
      </c>
      <c r="G2730">
        <v>202607</v>
      </c>
      <c r="H2730" t="s">
        <v>79</v>
      </c>
      <c r="I2730" t="s">
        <v>80</v>
      </c>
      <c r="J2730" t="s">
        <v>91</v>
      </c>
      <c r="K2730" t="s">
        <v>78</v>
      </c>
      <c r="L2730" t="s">
        <v>333</v>
      </c>
      <c r="M2730" t="s">
        <v>334</v>
      </c>
      <c r="N2730" t="s">
        <v>794</v>
      </c>
      <c r="O2730" t="s">
        <v>82</v>
      </c>
      <c r="P2730" t="str">
        <f>"4170065792                    "</f>
        <v xml:space="preserve">4170065792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22.36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70.959999999999994</v>
      </c>
      <c r="BM2730">
        <v>10.64</v>
      </c>
      <c r="BN2730">
        <v>81.599999999999994</v>
      </c>
      <c r="BO2730">
        <v>81.599999999999994</v>
      </c>
      <c r="BQ2730" t="s">
        <v>795</v>
      </c>
      <c r="BR2730" t="s">
        <v>97</v>
      </c>
      <c r="BS2730" s="3">
        <v>45954</v>
      </c>
      <c r="BT2730" s="4">
        <v>0.43194444444444446</v>
      </c>
      <c r="BU2730" t="s">
        <v>796</v>
      </c>
      <c r="BV2730" t="s">
        <v>86</v>
      </c>
      <c r="BY2730">
        <v>1200</v>
      </c>
      <c r="CA2730" t="s">
        <v>142</v>
      </c>
      <c r="CC2730" t="s">
        <v>334</v>
      </c>
      <c r="CD2730">
        <v>6220</v>
      </c>
      <c r="CE2730" t="s">
        <v>147</v>
      </c>
      <c r="CF2730" s="3">
        <v>45954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"080068698351"</f>
        <v>080068698351</v>
      </c>
      <c r="F2731" s="3">
        <v>45953</v>
      </c>
      <c r="G2731">
        <v>202607</v>
      </c>
      <c r="H2731" t="s">
        <v>79</v>
      </c>
      <c r="I2731" t="s">
        <v>80</v>
      </c>
      <c r="J2731" t="s">
        <v>91</v>
      </c>
      <c r="K2731" t="s">
        <v>78</v>
      </c>
      <c r="L2731" t="s">
        <v>453</v>
      </c>
      <c r="M2731" t="s">
        <v>454</v>
      </c>
      <c r="N2731" t="s">
        <v>1223</v>
      </c>
      <c r="O2731" t="s">
        <v>82</v>
      </c>
      <c r="P2731" t="str">
        <f>"4170065707                    "</f>
        <v xml:space="preserve">4170065707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22.36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70.959999999999994</v>
      </c>
      <c r="BM2731">
        <v>10.64</v>
      </c>
      <c r="BN2731">
        <v>81.599999999999994</v>
      </c>
      <c r="BO2731">
        <v>81.599999999999994</v>
      </c>
      <c r="BQ2731" t="s">
        <v>1224</v>
      </c>
      <c r="BR2731" t="s">
        <v>97</v>
      </c>
      <c r="BS2731" s="3">
        <v>45954</v>
      </c>
      <c r="BT2731" s="4">
        <v>0.38472222222222224</v>
      </c>
      <c r="BU2731" t="s">
        <v>2675</v>
      </c>
      <c r="BV2731" t="s">
        <v>86</v>
      </c>
      <c r="BY2731">
        <v>1200</v>
      </c>
      <c r="CA2731" t="s">
        <v>742</v>
      </c>
      <c r="CC2731" t="s">
        <v>454</v>
      </c>
      <c r="CD2731">
        <v>3610</v>
      </c>
      <c r="CE2731" t="s">
        <v>147</v>
      </c>
      <c r="CF2731" s="3">
        <v>45954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"080068698385"</f>
        <v>080068698385</v>
      </c>
      <c r="F2732" s="3">
        <v>45953</v>
      </c>
      <c r="G2732">
        <v>202607</v>
      </c>
      <c r="H2732" t="s">
        <v>79</v>
      </c>
      <c r="I2732" t="s">
        <v>80</v>
      </c>
      <c r="J2732" t="s">
        <v>91</v>
      </c>
      <c r="K2732" t="s">
        <v>78</v>
      </c>
      <c r="L2732" t="s">
        <v>453</v>
      </c>
      <c r="M2732" t="s">
        <v>454</v>
      </c>
      <c r="N2732" t="s">
        <v>639</v>
      </c>
      <c r="O2732" t="s">
        <v>82</v>
      </c>
      <c r="P2732" t="str">
        <f>"4170065823                    "</f>
        <v xml:space="preserve">4170065823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22.36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70.959999999999994</v>
      </c>
      <c r="BM2732">
        <v>10.64</v>
      </c>
      <c r="BN2732">
        <v>81.599999999999994</v>
      </c>
      <c r="BO2732">
        <v>81.599999999999994</v>
      </c>
      <c r="BQ2732" t="s">
        <v>640</v>
      </c>
      <c r="BR2732" t="s">
        <v>97</v>
      </c>
      <c r="BS2732" s="3">
        <v>45954</v>
      </c>
      <c r="BT2732" s="4">
        <v>0.38263888888888886</v>
      </c>
      <c r="BU2732" t="s">
        <v>641</v>
      </c>
      <c r="BV2732" t="s">
        <v>86</v>
      </c>
      <c r="BY2732">
        <v>1200</v>
      </c>
      <c r="CA2732" t="s">
        <v>457</v>
      </c>
      <c r="CC2732" t="s">
        <v>454</v>
      </c>
      <c r="CD2732">
        <v>3610</v>
      </c>
      <c r="CE2732" t="s">
        <v>147</v>
      </c>
      <c r="CF2732" s="3">
        <v>45954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"080068698420"</f>
        <v>080068698420</v>
      </c>
      <c r="F2733" s="3">
        <v>45953</v>
      </c>
      <c r="G2733">
        <v>202607</v>
      </c>
      <c r="H2733" t="s">
        <v>79</v>
      </c>
      <c r="I2733" t="s">
        <v>80</v>
      </c>
      <c r="J2733" t="s">
        <v>91</v>
      </c>
      <c r="K2733" t="s">
        <v>78</v>
      </c>
      <c r="L2733" t="s">
        <v>453</v>
      </c>
      <c r="M2733" t="s">
        <v>454</v>
      </c>
      <c r="N2733" t="s">
        <v>968</v>
      </c>
      <c r="O2733" t="s">
        <v>82</v>
      </c>
      <c r="P2733" t="str">
        <f>"4170065766                    "</f>
        <v xml:space="preserve">4170065766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22.36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70.959999999999994</v>
      </c>
      <c r="BM2733">
        <v>10.64</v>
      </c>
      <c r="BN2733">
        <v>81.599999999999994</v>
      </c>
      <c r="BO2733">
        <v>81.599999999999994</v>
      </c>
      <c r="BQ2733" t="s">
        <v>969</v>
      </c>
      <c r="BR2733" t="s">
        <v>97</v>
      </c>
      <c r="BS2733" s="3">
        <v>45954</v>
      </c>
      <c r="BT2733" s="4">
        <v>0.38680555555555557</v>
      </c>
      <c r="BU2733" t="s">
        <v>1399</v>
      </c>
      <c r="BV2733" t="s">
        <v>86</v>
      </c>
      <c r="BY2733">
        <v>1200</v>
      </c>
      <c r="CA2733" t="s">
        <v>457</v>
      </c>
      <c r="CC2733" t="s">
        <v>454</v>
      </c>
      <c r="CD2733">
        <v>3600</v>
      </c>
      <c r="CE2733" t="s">
        <v>147</v>
      </c>
      <c r="CF2733" s="3">
        <v>45954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"080068698457"</f>
        <v>080068698457</v>
      </c>
      <c r="F2734" s="3">
        <v>45953</v>
      </c>
      <c r="G2734">
        <v>202607</v>
      </c>
      <c r="H2734" t="s">
        <v>79</v>
      </c>
      <c r="I2734" t="s">
        <v>80</v>
      </c>
      <c r="J2734" t="s">
        <v>91</v>
      </c>
      <c r="K2734" t="s">
        <v>78</v>
      </c>
      <c r="L2734" t="s">
        <v>446</v>
      </c>
      <c r="M2734" t="s">
        <v>447</v>
      </c>
      <c r="N2734" t="s">
        <v>448</v>
      </c>
      <c r="O2734" t="s">
        <v>82</v>
      </c>
      <c r="P2734" t="str">
        <f>"4170065737                    "</f>
        <v xml:space="preserve">4170065737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43.31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137.47</v>
      </c>
      <c r="BM2734">
        <v>20.62</v>
      </c>
      <c r="BN2734">
        <v>158.09</v>
      </c>
      <c r="BO2734">
        <v>158.09</v>
      </c>
      <c r="BQ2734" t="s">
        <v>449</v>
      </c>
      <c r="BR2734" t="s">
        <v>97</v>
      </c>
      <c r="BS2734" s="3">
        <v>45954</v>
      </c>
      <c r="BT2734" s="4">
        <v>0.48680555555555555</v>
      </c>
      <c r="BU2734" t="s">
        <v>450</v>
      </c>
      <c r="BV2734" t="s">
        <v>86</v>
      </c>
      <c r="BY2734">
        <v>1200</v>
      </c>
      <c r="CA2734" t="s">
        <v>1124</v>
      </c>
      <c r="CC2734" t="s">
        <v>447</v>
      </c>
      <c r="CD2734">
        <v>7130</v>
      </c>
      <c r="CE2734" t="s">
        <v>147</v>
      </c>
      <c r="CF2734" s="3">
        <v>45957</v>
      </c>
      <c r="CI2734">
        <v>1</v>
      </c>
      <c r="CJ2734">
        <v>1</v>
      </c>
      <c r="CK2734">
        <v>23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"080068698460"</f>
        <v>080068698460</v>
      </c>
      <c r="F2735" s="3">
        <v>45953</v>
      </c>
      <c r="G2735">
        <v>202607</v>
      </c>
      <c r="H2735" t="s">
        <v>79</v>
      </c>
      <c r="I2735" t="s">
        <v>80</v>
      </c>
      <c r="J2735" t="s">
        <v>91</v>
      </c>
      <c r="K2735" t="s">
        <v>78</v>
      </c>
      <c r="L2735" t="s">
        <v>108</v>
      </c>
      <c r="M2735" t="s">
        <v>109</v>
      </c>
      <c r="N2735" t="s">
        <v>2869</v>
      </c>
      <c r="O2735" t="s">
        <v>82</v>
      </c>
      <c r="P2735" t="str">
        <f>"4170065786                    "</f>
        <v xml:space="preserve">4170065786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22.36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70.959999999999994</v>
      </c>
      <c r="BM2735">
        <v>10.64</v>
      </c>
      <c r="BN2735">
        <v>81.599999999999994</v>
      </c>
      <c r="BO2735">
        <v>81.599999999999994</v>
      </c>
      <c r="BQ2735" t="s">
        <v>2870</v>
      </c>
      <c r="BR2735" t="s">
        <v>97</v>
      </c>
      <c r="BS2735" s="3">
        <v>45954</v>
      </c>
      <c r="BT2735" s="4">
        <v>0.43541666666666667</v>
      </c>
      <c r="BU2735" t="s">
        <v>3193</v>
      </c>
      <c r="BV2735" t="s">
        <v>86</v>
      </c>
      <c r="BY2735">
        <v>1200</v>
      </c>
      <c r="CA2735" t="s">
        <v>3194</v>
      </c>
      <c r="CC2735" t="s">
        <v>109</v>
      </c>
      <c r="CD2735">
        <v>6001</v>
      </c>
      <c r="CE2735" t="s">
        <v>147</v>
      </c>
      <c r="CF2735" s="3">
        <v>45954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"080068698500"</f>
        <v>080068698500</v>
      </c>
      <c r="F2736" s="3">
        <v>45953</v>
      </c>
      <c r="G2736">
        <v>202607</v>
      </c>
      <c r="H2736" t="s">
        <v>79</v>
      </c>
      <c r="I2736" t="s">
        <v>80</v>
      </c>
      <c r="J2736" t="s">
        <v>91</v>
      </c>
      <c r="K2736" t="s">
        <v>78</v>
      </c>
      <c r="L2736" t="s">
        <v>168</v>
      </c>
      <c r="M2736" t="s">
        <v>169</v>
      </c>
      <c r="N2736" t="s">
        <v>1801</v>
      </c>
      <c r="O2736" t="s">
        <v>82</v>
      </c>
      <c r="P2736" t="str">
        <f>"4170065753                    "</f>
        <v xml:space="preserve">4170065753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22.36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70.959999999999994</v>
      </c>
      <c r="BM2736">
        <v>10.64</v>
      </c>
      <c r="BN2736">
        <v>81.599999999999994</v>
      </c>
      <c r="BO2736">
        <v>81.599999999999994</v>
      </c>
      <c r="BQ2736" t="s">
        <v>1802</v>
      </c>
      <c r="BR2736" t="s">
        <v>97</v>
      </c>
      <c r="BS2736" s="3">
        <v>45954</v>
      </c>
      <c r="BT2736" s="4">
        <v>0.38333333333333336</v>
      </c>
      <c r="BU2736" t="s">
        <v>1791</v>
      </c>
      <c r="BV2736" t="s">
        <v>86</v>
      </c>
      <c r="BY2736">
        <v>1200</v>
      </c>
      <c r="CA2736">
        <v>8110305701087</v>
      </c>
      <c r="CC2736" t="s">
        <v>169</v>
      </c>
      <c r="CD2736" s="5" t="s">
        <v>839</v>
      </c>
      <c r="CE2736" t="s">
        <v>147</v>
      </c>
      <c r="CF2736" s="3">
        <v>45954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"080068698502"</f>
        <v>080068698502</v>
      </c>
      <c r="F2737" s="3">
        <v>45953</v>
      </c>
      <c r="G2737">
        <v>202607</v>
      </c>
      <c r="H2737" t="s">
        <v>79</v>
      </c>
      <c r="I2737" t="s">
        <v>80</v>
      </c>
      <c r="J2737" t="s">
        <v>91</v>
      </c>
      <c r="K2737" t="s">
        <v>78</v>
      </c>
      <c r="L2737" t="s">
        <v>92</v>
      </c>
      <c r="M2737" t="s">
        <v>93</v>
      </c>
      <c r="N2737" t="s">
        <v>1179</v>
      </c>
      <c r="O2737" t="s">
        <v>82</v>
      </c>
      <c r="P2737" t="str">
        <f>"4170065780                    "</f>
        <v xml:space="preserve">4170065780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22.36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16.739999999999998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87.7</v>
      </c>
      <c r="BM2737">
        <v>13.16</v>
      </c>
      <c r="BN2737">
        <v>100.86</v>
      </c>
      <c r="BO2737">
        <v>100.86</v>
      </c>
      <c r="BQ2737" t="s">
        <v>1180</v>
      </c>
      <c r="BR2737" t="s">
        <v>97</v>
      </c>
      <c r="BS2737" s="3">
        <v>45954</v>
      </c>
      <c r="BT2737" s="4">
        <v>0.52222222222222225</v>
      </c>
      <c r="BU2737" t="s">
        <v>3195</v>
      </c>
      <c r="BV2737" t="s">
        <v>86</v>
      </c>
      <c r="BY2737">
        <v>1200</v>
      </c>
      <c r="BZ2737" t="s">
        <v>30</v>
      </c>
      <c r="CA2737" t="s">
        <v>3196</v>
      </c>
      <c r="CC2737" t="s">
        <v>93</v>
      </c>
      <c r="CD2737">
        <v>3699</v>
      </c>
      <c r="CE2737" t="s">
        <v>147</v>
      </c>
      <c r="CF2737" s="3">
        <v>45955</v>
      </c>
      <c r="CI2737">
        <v>1</v>
      </c>
      <c r="CJ2737">
        <v>1</v>
      </c>
      <c r="CK2737">
        <v>21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"080068698555"</f>
        <v>080068698555</v>
      </c>
      <c r="F2738" s="3">
        <v>45953</v>
      </c>
      <c r="G2738">
        <v>202607</v>
      </c>
      <c r="H2738" t="s">
        <v>79</v>
      </c>
      <c r="I2738" t="s">
        <v>80</v>
      </c>
      <c r="J2738" t="s">
        <v>91</v>
      </c>
      <c r="K2738" t="s">
        <v>78</v>
      </c>
      <c r="L2738" t="s">
        <v>108</v>
      </c>
      <c r="M2738" t="s">
        <v>109</v>
      </c>
      <c r="N2738" t="s">
        <v>2559</v>
      </c>
      <c r="O2738" t="s">
        <v>82</v>
      </c>
      <c r="P2738" t="str">
        <f>"4170065764                    "</f>
        <v xml:space="preserve">4170065764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22.36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70.959999999999994</v>
      </c>
      <c r="BM2738">
        <v>10.64</v>
      </c>
      <c r="BN2738">
        <v>81.599999999999994</v>
      </c>
      <c r="BO2738">
        <v>81.599999999999994</v>
      </c>
      <c r="BQ2738" t="s">
        <v>2560</v>
      </c>
      <c r="BR2738" t="s">
        <v>97</v>
      </c>
      <c r="BS2738" s="3">
        <v>45954</v>
      </c>
      <c r="BT2738" s="4">
        <v>0.40416666666666667</v>
      </c>
      <c r="BU2738" t="s">
        <v>3197</v>
      </c>
      <c r="BV2738" t="s">
        <v>86</v>
      </c>
      <c r="BY2738">
        <v>1200</v>
      </c>
      <c r="CA2738" t="s">
        <v>2562</v>
      </c>
      <c r="CC2738" t="s">
        <v>109</v>
      </c>
      <c r="CD2738">
        <v>6001</v>
      </c>
      <c r="CE2738" t="s">
        <v>147</v>
      </c>
      <c r="CF2738" s="3">
        <v>45954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"080068698561"</f>
        <v>080068698561</v>
      </c>
      <c r="F2739" s="3">
        <v>45953</v>
      </c>
      <c r="G2739">
        <v>202607</v>
      </c>
      <c r="H2739" t="s">
        <v>79</v>
      </c>
      <c r="I2739" t="s">
        <v>80</v>
      </c>
      <c r="J2739" t="s">
        <v>91</v>
      </c>
      <c r="K2739" t="s">
        <v>78</v>
      </c>
      <c r="L2739" t="s">
        <v>168</v>
      </c>
      <c r="M2739" t="s">
        <v>169</v>
      </c>
      <c r="N2739" t="s">
        <v>2783</v>
      </c>
      <c r="O2739" t="s">
        <v>82</v>
      </c>
      <c r="P2739" t="str">
        <f>"4170065777                    "</f>
        <v xml:space="preserve">4170065777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22.36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70.959999999999994</v>
      </c>
      <c r="BM2739">
        <v>10.64</v>
      </c>
      <c r="BN2739">
        <v>81.599999999999994</v>
      </c>
      <c r="BO2739">
        <v>81.599999999999994</v>
      </c>
      <c r="BQ2739" t="s">
        <v>2784</v>
      </c>
      <c r="BR2739" t="s">
        <v>97</v>
      </c>
      <c r="BS2739" s="3">
        <v>45954</v>
      </c>
      <c r="BT2739" s="4">
        <v>0.40138888888888891</v>
      </c>
      <c r="BU2739" t="s">
        <v>2785</v>
      </c>
      <c r="BV2739" t="s">
        <v>86</v>
      </c>
      <c r="BY2739">
        <v>1200</v>
      </c>
      <c r="CA2739">
        <v>8201095431082</v>
      </c>
      <c r="CC2739" t="s">
        <v>169</v>
      </c>
      <c r="CD2739" s="5" t="s">
        <v>914</v>
      </c>
      <c r="CE2739" t="s">
        <v>147</v>
      </c>
      <c r="CF2739" s="3">
        <v>45954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"080068698594"</f>
        <v>080068698594</v>
      </c>
      <c r="F2740" s="3">
        <v>45953</v>
      </c>
      <c r="G2740">
        <v>202607</v>
      </c>
      <c r="H2740" t="s">
        <v>79</v>
      </c>
      <c r="I2740" t="s">
        <v>80</v>
      </c>
      <c r="J2740" t="s">
        <v>91</v>
      </c>
      <c r="K2740" t="s">
        <v>78</v>
      </c>
      <c r="L2740" t="s">
        <v>206</v>
      </c>
      <c r="M2740" t="s">
        <v>207</v>
      </c>
      <c r="N2740" t="s">
        <v>1827</v>
      </c>
      <c r="O2740" t="s">
        <v>82</v>
      </c>
      <c r="P2740" t="str">
        <f>"4170065759                    "</f>
        <v xml:space="preserve">4170065759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22.36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70.959999999999994</v>
      </c>
      <c r="BM2740">
        <v>10.64</v>
      </c>
      <c r="BN2740">
        <v>81.599999999999994</v>
      </c>
      <c r="BO2740">
        <v>81.599999999999994</v>
      </c>
      <c r="BQ2740" t="s">
        <v>1828</v>
      </c>
      <c r="BR2740" t="s">
        <v>97</v>
      </c>
      <c r="BS2740" s="3">
        <v>45954</v>
      </c>
      <c r="BT2740" s="4">
        <v>0.37083333333333335</v>
      </c>
      <c r="BU2740" t="s">
        <v>1829</v>
      </c>
      <c r="BV2740" t="s">
        <v>86</v>
      </c>
      <c r="BY2740">
        <v>1200</v>
      </c>
      <c r="CA2740" t="s">
        <v>415</v>
      </c>
      <c r="CC2740" t="s">
        <v>207</v>
      </c>
      <c r="CD2740">
        <v>7499</v>
      </c>
      <c r="CE2740" t="s">
        <v>147</v>
      </c>
      <c r="CF2740" s="3">
        <v>45957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"080068698599"</f>
        <v>080068698599</v>
      </c>
      <c r="F2741" s="3">
        <v>45953</v>
      </c>
      <c r="G2741">
        <v>202607</v>
      </c>
      <c r="H2741" t="s">
        <v>79</v>
      </c>
      <c r="I2741" t="s">
        <v>80</v>
      </c>
      <c r="J2741" t="s">
        <v>91</v>
      </c>
      <c r="K2741" t="s">
        <v>78</v>
      </c>
      <c r="L2741" t="s">
        <v>223</v>
      </c>
      <c r="M2741" t="s">
        <v>224</v>
      </c>
      <c r="N2741" t="s">
        <v>505</v>
      </c>
      <c r="O2741" t="s">
        <v>82</v>
      </c>
      <c r="P2741" t="str">
        <f>"4170065664                    "</f>
        <v xml:space="preserve">4170065664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17.46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55.42</v>
      </c>
      <c r="BM2741">
        <v>8.31</v>
      </c>
      <c r="BN2741">
        <v>63.73</v>
      </c>
      <c r="BO2741">
        <v>63.73</v>
      </c>
      <c r="BQ2741" t="s">
        <v>506</v>
      </c>
      <c r="BR2741" t="s">
        <v>97</v>
      </c>
      <c r="BS2741" s="3">
        <v>45954</v>
      </c>
      <c r="BT2741" s="4">
        <v>0.38124999999999998</v>
      </c>
      <c r="BU2741" t="s">
        <v>507</v>
      </c>
      <c r="BV2741" t="s">
        <v>86</v>
      </c>
      <c r="BY2741">
        <v>1200</v>
      </c>
      <c r="CA2741" t="s">
        <v>508</v>
      </c>
      <c r="CC2741" t="s">
        <v>224</v>
      </c>
      <c r="CD2741">
        <v>1459</v>
      </c>
      <c r="CE2741" t="s">
        <v>147</v>
      </c>
      <c r="CF2741" s="3">
        <v>45954</v>
      </c>
      <c r="CI2741">
        <v>1</v>
      </c>
      <c r="CJ2741">
        <v>1</v>
      </c>
      <c r="CK2741">
        <v>22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"080068698644"</f>
        <v>080068698644</v>
      </c>
      <c r="F2742" s="3">
        <v>45953</v>
      </c>
      <c r="G2742">
        <v>202607</v>
      </c>
      <c r="H2742" t="s">
        <v>79</v>
      </c>
      <c r="I2742" t="s">
        <v>80</v>
      </c>
      <c r="J2742" t="s">
        <v>91</v>
      </c>
      <c r="K2742" t="s">
        <v>78</v>
      </c>
      <c r="L2742" t="s">
        <v>79</v>
      </c>
      <c r="M2742" t="s">
        <v>80</v>
      </c>
      <c r="N2742" t="s">
        <v>163</v>
      </c>
      <c r="O2742" t="s">
        <v>82</v>
      </c>
      <c r="P2742" t="str">
        <f>"4170065693                    "</f>
        <v xml:space="preserve">4170065693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17.46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55.42</v>
      </c>
      <c r="BM2742">
        <v>8.31</v>
      </c>
      <c r="BN2742">
        <v>63.73</v>
      </c>
      <c r="BO2742">
        <v>63.73</v>
      </c>
      <c r="BQ2742" t="s">
        <v>164</v>
      </c>
      <c r="BR2742" t="s">
        <v>97</v>
      </c>
      <c r="BS2742" s="3">
        <v>45954</v>
      </c>
      <c r="BT2742" s="4">
        <v>0.3263888888888889</v>
      </c>
      <c r="BU2742" t="s">
        <v>2639</v>
      </c>
      <c r="BV2742" t="s">
        <v>86</v>
      </c>
      <c r="BY2742">
        <v>1200</v>
      </c>
      <c r="CA2742" t="s">
        <v>166</v>
      </c>
      <c r="CC2742" t="s">
        <v>80</v>
      </c>
      <c r="CD2742">
        <v>1600</v>
      </c>
      <c r="CE2742" t="s">
        <v>147</v>
      </c>
      <c r="CF2742" s="3">
        <v>45954</v>
      </c>
      <c r="CI2742">
        <v>1</v>
      </c>
      <c r="CJ2742">
        <v>1</v>
      </c>
      <c r="CK2742">
        <v>22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"080068698666"</f>
        <v>080068698666</v>
      </c>
      <c r="F2743" s="3">
        <v>45953</v>
      </c>
      <c r="G2743">
        <v>202607</v>
      </c>
      <c r="H2743" t="s">
        <v>79</v>
      </c>
      <c r="I2743" t="s">
        <v>80</v>
      </c>
      <c r="J2743" t="s">
        <v>91</v>
      </c>
      <c r="K2743" t="s">
        <v>78</v>
      </c>
      <c r="L2743" t="s">
        <v>92</v>
      </c>
      <c r="M2743" t="s">
        <v>93</v>
      </c>
      <c r="N2743" t="s">
        <v>94</v>
      </c>
      <c r="O2743" t="s">
        <v>82</v>
      </c>
      <c r="P2743" t="str">
        <f>"4170065835                    "</f>
        <v xml:space="preserve">4170065835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22.36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70.959999999999994</v>
      </c>
      <c r="BM2743">
        <v>10.64</v>
      </c>
      <c r="BN2743">
        <v>81.599999999999994</v>
      </c>
      <c r="BO2743">
        <v>81.599999999999994</v>
      </c>
      <c r="BQ2743" t="s">
        <v>96</v>
      </c>
      <c r="BR2743" t="s">
        <v>97</v>
      </c>
      <c r="BS2743" s="3">
        <v>45954</v>
      </c>
      <c r="BT2743" s="4">
        <v>0.42083333333333334</v>
      </c>
      <c r="BU2743" t="s">
        <v>1520</v>
      </c>
      <c r="BV2743" t="s">
        <v>86</v>
      </c>
      <c r="BY2743">
        <v>1200</v>
      </c>
      <c r="CA2743" t="s">
        <v>1494</v>
      </c>
      <c r="CC2743" t="s">
        <v>93</v>
      </c>
      <c r="CD2743">
        <v>3200</v>
      </c>
      <c r="CE2743" t="s">
        <v>147</v>
      </c>
      <c r="CF2743" s="3">
        <v>45955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"080068698704"</f>
        <v>080068698704</v>
      </c>
      <c r="F2744" s="3">
        <v>45953</v>
      </c>
      <c r="G2744">
        <v>202607</v>
      </c>
      <c r="H2744" t="s">
        <v>79</v>
      </c>
      <c r="I2744" t="s">
        <v>80</v>
      </c>
      <c r="J2744" t="s">
        <v>91</v>
      </c>
      <c r="K2744" t="s">
        <v>78</v>
      </c>
      <c r="L2744" t="s">
        <v>92</v>
      </c>
      <c r="M2744" t="s">
        <v>93</v>
      </c>
      <c r="N2744" t="s">
        <v>597</v>
      </c>
      <c r="O2744" t="s">
        <v>82</v>
      </c>
      <c r="P2744" t="str">
        <f>"4170065727                    "</f>
        <v xml:space="preserve">4170065727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83.78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5.4</v>
      </c>
      <c r="BJ2744">
        <v>7.4</v>
      </c>
      <c r="BK2744">
        <v>7.5</v>
      </c>
      <c r="BL2744">
        <v>265.92</v>
      </c>
      <c r="BM2744">
        <v>39.89</v>
      </c>
      <c r="BN2744">
        <v>305.81</v>
      </c>
      <c r="BO2744">
        <v>305.81</v>
      </c>
      <c r="BQ2744" t="s">
        <v>598</v>
      </c>
      <c r="BR2744" t="s">
        <v>97</v>
      </c>
      <c r="BS2744" s="3">
        <v>45954</v>
      </c>
      <c r="BT2744" s="4">
        <v>0.4201388888888889</v>
      </c>
      <c r="BU2744" t="s">
        <v>599</v>
      </c>
      <c r="BV2744" t="s">
        <v>86</v>
      </c>
      <c r="BY2744">
        <v>37084.5</v>
      </c>
      <c r="CA2744" t="s">
        <v>600</v>
      </c>
      <c r="CC2744" t="s">
        <v>93</v>
      </c>
      <c r="CD2744">
        <v>3201</v>
      </c>
      <c r="CE2744" t="s">
        <v>107</v>
      </c>
      <c r="CF2744" s="3">
        <v>45955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"080068698716"</f>
        <v>080068698716</v>
      </c>
      <c r="F2745" s="3">
        <v>45953</v>
      </c>
      <c r="G2745">
        <v>202607</v>
      </c>
      <c r="H2745" t="s">
        <v>79</v>
      </c>
      <c r="I2745" t="s">
        <v>80</v>
      </c>
      <c r="J2745" t="s">
        <v>91</v>
      </c>
      <c r="K2745" t="s">
        <v>78</v>
      </c>
      <c r="L2745" t="s">
        <v>453</v>
      </c>
      <c r="M2745" t="s">
        <v>454</v>
      </c>
      <c r="N2745" t="s">
        <v>639</v>
      </c>
      <c r="O2745" t="s">
        <v>82</v>
      </c>
      <c r="P2745" t="str">
        <f>"4170065776                    "</f>
        <v xml:space="preserve">4170065776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22.36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70.959999999999994</v>
      </c>
      <c r="BM2745">
        <v>10.64</v>
      </c>
      <c r="BN2745">
        <v>81.599999999999994</v>
      </c>
      <c r="BO2745">
        <v>81.599999999999994</v>
      </c>
      <c r="BQ2745" t="s">
        <v>640</v>
      </c>
      <c r="BR2745" t="s">
        <v>97</v>
      </c>
      <c r="BS2745" s="3">
        <v>45954</v>
      </c>
      <c r="BT2745" s="4">
        <v>0.38263888888888886</v>
      </c>
      <c r="BU2745" t="s">
        <v>641</v>
      </c>
      <c r="BV2745" t="s">
        <v>86</v>
      </c>
      <c r="BY2745">
        <v>1200</v>
      </c>
      <c r="CA2745" t="s">
        <v>457</v>
      </c>
      <c r="CC2745" t="s">
        <v>454</v>
      </c>
      <c r="CD2745">
        <v>3610</v>
      </c>
      <c r="CE2745" t="s">
        <v>147</v>
      </c>
      <c r="CF2745" s="3">
        <v>45954</v>
      </c>
      <c r="CI2745">
        <v>1</v>
      </c>
      <c r="CJ2745">
        <v>1</v>
      </c>
      <c r="CK2745">
        <v>21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"080068698756"</f>
        <v>080068698756</v>
      </c>
      <c r="F2746" s="3">
        <v>45953</v>
      </c>
      <c r="G2746">
        <v>202607</v>
      </c>
      <c r="H2746" t="s">
        <v>79</v>
      </c>
      <c r="I2746" t="s">
        <v>80</v>
      </c>
      <c r="J2746" t="s">
        <v>91</v>
      </c>
      <c r="K2746" t="s">
        <v>78</v>
      </c>
      <c r="L2746" t="s">
        <v>168</v>
      </c>
      <c r="M2746" t="s">
        <v>169</v>
      </c>
      <c r="N2746" t="s">
        <v>170</v>
      </c>
      <c r="O2746" t="s">
        <v>82</v>
      </c>
      <c r="P2746" t="str">
        <f>"4170065741                    "</f>
        <v xml:space="preserve">4170065741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22.36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70.959999999999994</v>
      </c>
      <c r="BM2746">
        <v>10.64</v>
      </c>
      <c r="BN2746">
        <v>81.599999999999994</v>
      </c>
      <c r="BO2746">
        <v>81.599999999999994</v>
      </c>
      <c r="BQ2746" t="s">
        <v>171</v>
      </c>
      <c r="BR2746" t="s">
        <v>97</v>
      </c>
      <c r="BS2746" s="3">
        <v>45954</v>
      </c>
      <c r="BT2746" s="4">
        <v>0.34930555555555554</v>
      </c>
      <c r="BU2746" t="s">
        <v>332</v>
      </c>
      <c r="BV2746" t="s">
        <v>86</v>
      </c>
      <c r="BY2746">
        <v>1200</v>
      </c>
      <c r="CA2746">
        <v>7712195338085</v>
      </c>
      <c r="CC2746" t="s">
        <v>169</v>
      </c>
      <c r="CD2746" s="5" t="s">
        <v>173</v>
      </c>
      <c r="CE2746" t="s">
        <v>147</v>
      </c>
      <c r="CF2746" s="3">
        <v>45954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"080068698774"</f>
        <v>080068698774</v>
      </c>
      <c r="F2747" s="3">
        <v>45953</v>
      </c>
      <c r="G2747">
        <v>202607</v>
      </c>
      <c r="H2747" t="s">
        <v>79</v>
      </c>
      <c r="I2747" t="s">
        <v>80</v>
      </c>
      <c r="J2747" t="s">
        <v>91</v>
      </c>
      <c r="K2747" t="s">
        <v>78</v>
      </c>
      <c r="L2747" t="s">
        <v>148</v>
      </c>
      <c r="M2747" t="s">
        <v>149</v>
      </c>
      <c r="N2747" t="s">
        <v>2272</v>
      </c>
      <c r="O2747" t="s">
        <v>226</v>
      </c>
      <c r="P2747" t="str">
        <f>"4170065803                    "</f>
        <v xml:space="preserve">4170065803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17.47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5</v>
      </c>
      <c r="BJ2747">
        <v>7.7</v>
      </c>
      <c r="BK2747">
        <v>8</v>
      </c>
      <c r="BL2747">
        <v>55.44</v>
      </c>
      <c r="BM2747">
        <v>8.32</v>
      </c>
      <c r="BN2747">
        <v>63.76</v>
      </c>
      <c r="BO2747">
        <v>63.76</v>
      </c>
      <c r="BQ2747" t="s">
        <v>2273</v>
      </c>
      <c r="BR2747" t="s">
        <v>97</v>
      </c>
      <c r="BS2747" s="3">
        <v>45954</v>
      </c>
      <c r="BT2747" s="4">
        <v>0.37916666666666665</v>
      </c>
      <c r="BU2747" t="s">
        <v>2274</v>
      </c>
      <c r="BV2747" t="s">
        <v>86</v>
      </c>
      <c r="BY2747">
        <v>38480</v>
      </c>
      <c r="CA2747" t="s">
        <v>1463</v>
      </c>
      <c r="CC2747" t="s">
        <v>149</v>
      </c>
      <c r="CD2747">
        <v>2190</v>
      </c>
      <c r="CE2747" t="s">
        <v>107</v>
      </c>
      <c r="CF2747" s="3">
        <v>45954</v>
      </c>
      <c r="CI2747">
        <v>1</v>
      </c>
      <c r="CJ2747">
        <v>1</v>
      </c>
      <c r="CK2747">
        <v>32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"080068698790"</f>
        <v>080068698790</v>
      </c>
      <c r="F2748" s="3">
        <v>45953</v>
      </c>
      <c r="G2748">
        <v>202607</v>
      </c>
      <c r="H2748" t="s">
        <v>79</v>
      </c>
      <c r="I2748" t="s">
        <v>80</v>
      </c>
      <c r="J2748" t="s">
        <v>91</v>
      </c>
      <c r="K2748" t="s">
        <v>78</v>
      </c>
      <c r="L2748" t="s">
        <v>206</v>
      </c>
      <c r="M2748" t="s">
        <v>207</v>
      </c>
      <c r="N2748" t="s">
        <v>208</v>
      </c>
      <c r="O2748" t="s">
        <v>82</v>
      </c>
      <c r="P2748" t="str">
        <f>"4170065667                    "</f>
        <v xml:space="preserve">4170065667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22.36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70.959999999999994</v>
      </c>
      <c r="BM2748">
        <v>10.64</v>
      </c>
      <c r="BN2748">
        <v>81.599999999999994</v>
      </c>
      <c r="BO2748">
        <v>81.599999999999994</v>
      </c>
      <c r="BQ2748" t="s">
        <v>209</v>
      </c>
      <c r="BR2748" t="s">
        <v>97</v>
      </c>
      <c r="BS2748" s="3">
        <v>45954</v>
      </c>
      <c r="BT2748" s="4">
        <v>0.37847222222222221</v>
      </c>
      <c r="BU2748" t="s">
        <v>1732</v>
      </c>
      <c r="BV2748" t="s">
        <v>86</v>
      </c>
      <c r="BY2748">
        <v>1200</v>
      </c>
      <c r="CA2748" t="s">
        <v>211</v>
      </c>
      <c r="CC2748" t="s">
        <v>207</v>
      </c>
      <c r="CD2748">
        <v>7441</v>
      </c>
      <c r="CE2748" t="s">
        <v>147</v>
      </c>
      <c r="CF2748" s="3">
        <v>45957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"080068698822"</f>
        <v>080068698822</v>
      </c>
      <c r="F2749" s="3">
        <v>45953</v>
      </c>
      <c r="G2749">
        <v>202607</v>
      </c>
      <c r="H2749" t="s">
        <v>79</v>
      </c>
      <c r="I2749" t="s">
        <v>80</v>
      </c>
      <c r="J2749" t="s">
        <v>91</v>
      </c>
      <c r="K2749" t="s">
        <v>78</v>
      </c>
      <c r="L2749" t="s">
        <v>453</v>
      </c>
      <c r="M2749" t="s">
        <v>454</v>
      </c>
      <c r="N2749" t="s">
        <v>639</v>
      </c>
      <c r="O2749" t="s">
        <v>82</v>
      </c>
      <c r="P2749" t="str">
        <f>"4170065769                    "</f>
        <v xml:space="preserve">4170065769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22.36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0.9</v>
      </c>
      <c r="BK2749">
        <v>1</v>
      </c>
      <c r="BL2749">
        <v>70.959999999999994</v>
      </c>
      <c r="BM2749">
        <v>10.64</v>
      </c>
      <c r="BN2749">
        <v>81.599999999999994</v>
      </c>
      <c r="BO2749">
        <v>81.599999999999994</v>
      </c>
      <c r="BQ2749" t="s">
        <v>640</v>
      </c>
      <c r="BR2749" t="s">
        <v>97</v>
      </c>
      <c r="BS2749" s="3">
        <v>45954</v>
      </c>
      <c r="BT2749" s="4">
        <v>0.38263888888888886</v>
      </c>
      <c r="BU2749" t="s">
        <v>641</v>
      </c>
      <c r="BV2749" t="s">
        <v>86</v>
      </c>
      <c r="BY2749">
        <v>4560</v>
      </c>
      <c r="CA2749" t="s">
        <v>457</v>
      </c>
      <c r="CC2749" t="s">
        <v>454</v>
      </c>
      <c r="CD2749">
        <v>3610</v>
      </c>
      <c r="CE2749" t="s">
        <v>191</v>
      </c>
      <c r="CF2749" s="3">
        <v>45954</v>
      </c>
      <c r="CI2749">
        <v>1</v>
      </c>
      <c r="CJ2749">
        <v>1</v>
      </c>
      <c r="CK2749">
        <v>21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"080068698875"</f>
        <v>080068698875</v>
      </c>
      <c r="F2750" s="3">
        <v>45953</v>
      </c>
      <c r="G2750">
        <v>202607</v>
      </c>
      <c r="H2750" t="s">
        <v>79</v>
      </c>
      <c r="I2750" t="s">
        <v>80</v>
      </c>
      <c r="J2750" t="s">
        <v>91</v>
      </c>
      <c r="K2750" t="s">
        <v>78</v>
      </c>
      <c r="L2750" t="s">
        <v>530</v>
      </c>
      <c r="M2750" t="s">
        <v>531</v>
      </c>
      <c r="N2750" t="s">
        <v>532</v>
      </c>
      <c r="O2750" t="s">
        <v>82</v>
      </c>
      <c r="P2750" t="str">
        <f>"4170065833                    "</f>
        <v xml:space="preserve">4170065833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43.31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1.1000000000000001</v>
      </c>
      <c r="BK2750">
        <v>1.5</v>
      </c>
      <c r="BL2750">
        <v>137.47</v>
      </c>
      <c r="BM2750">
        <v>20.62</v>
      </c>
      <c r="BN2750">
        <v>158.09</v>
      </c>
      <c r="BO2750">
        <v>158.09</v>
      </c>
      <c r="BQ2750" t="s">
        <v>533</v>
      </c>
      <c r="BR2750" t="s">
        <v>97</v>
      </c>
      <c r="BS2750" s="3">
        <v>45954</v>
      </c>
      <c r="BT2750" s="4">
        <v>0.48472222222222222</v>
      </c>
      <c r="BU2750" t="s">
        <v>2656</v>
      </c>
      <c r="BV2750" t="s">
        <v>86</v>
      </c>
      <c r="BY2750">
        <v>5510</v>
      </c>
      <c r="CA2750" t="s">
        <v>535</v>
      </c>
      <c r="CC2750" t="s">
        <v>531</v>
      </c>
      <c r="CD2750">
        <v>6850</v>
      </c>
      <c r="CE2750" t="s">
        <v>191</v>
      </c>
      <c r="CF2750" s="3">
        <v>45957</v>
      </c>
      <c r="CI2750">
        <v>2</v>
      </c>
      <c r="CJ2750">
        <v>1</v>
      </c>
      <c r="CK2750">
        <v>23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"080068698928"</f>
        <v>080068698928</v>
      </c>
      <c r="F2751" s="3">
        <v>45953</v>
      </c>
      <c r="G2751">
        <v>202607</v>
      </c>
      <c r="H2751" t="s">
        <v>79</v>
      </c>
      <c r="I2751" t="s">
        <v>80</v>
      </c>
      <c r="J2751" t="s">
        <v>91</v>
      </c>
      <c r="K2751" t="s">
        <v>78</v>
      </c>
      <c r="L2751" t="s">
        <v>239</v>
      </c>
      <c r="M2751" t="s">
        <v>240</v>
      </c>
      <c r="N2751" t="s">
        <v>526</v>
      </c>
      <c r="O2751" t="s">
        <v>82</v>
      </c>
      <c r="P2751" t="str">
        <f>"4170065836                    "</f>
        <v xml:space="preserve">4170065836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43.31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0.7</v>
      </c>
      <c r="BK2751">
        <v>1</v>
      </c>
      <c r="BL2751">
        <v>137.47</v>
      </c>
      <c r="BM2751">
        <v>20.62</v>
      </c>
      <c r="BN2751">
        <v>158.09</v>
      </c>
      <c r="BO2751">
        <v>158.09</v>
      </c>
      <c r="BQ2751" t="s">
        <v>527</v>
      </c>
      <c r="BR2751" t="s">
        <v>97</v>
      </c>
      <c r="BS2751" s="3">
        <v>45954</v>
      </c>
      <c r="BT2751" s="4">
        <v>0.40208333333333335</v>
      </c>
      <c r="BU2751" t="s">
        <v>528</v>
      </c>
      <c r="BV2751" t="s">
        <v>86</v>
      </c>
      <c r="BY2751">
        <v>3306</v>
      </c>
      <c r="CA2751" t="s">
        <v>3084</v>
      </c>
      <c r="CC2751" t="s">
        <v>240</v>
      </c>
      <c r="CD2751" s="5" t="s">
        <v>245</v>
      </c>
      <c r="CE2751" t="s">
        <v>191</v>
      </c>
      <c r="CF2751" s="3">
        <v>45957</v>
      </c>
      <c r="CI2751">
        <v>1</v>
      </c>
      <c r="CJ2751">
        <v>1</v>
      </c>
      <c r="CK2751">
        <v>23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"080068699168"</f>
        <v>080068699168</v>
      </c>
      <c r="F2752" s="3">
        <v>45953</v>
      </c>
      <c r="G2752">
        <v>202607</v>
      </c>
      <c r="H2752" t="s">
        <v>79</v>
      </c>
      <c r="I2752" t="s">
        <v>80</v>
      </c>
      <c r="J2752" t="s">
        <v>91</v>
      </c>
      <c r="K2752" t="s">
        <v>78</v>
      </c>
      <c r="L2752" t="s">
        <v>108</v>
      </c>
      <c r="M2752" t="s">
        <v>109</v>
      </c>
      <c r="N2752" t="s">
        <v>256</v>
      </c>
      <c r="O2752" t="s">
        <v>82</v>
      </c>
      <c r="P2752" t="str">
        <f>"4170065855                    "</f>
        <v xml:space="preserve">4170065855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178.72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16</v>
      </c>
      <c r="BJ2752">
        <v>8.9</v>
      </c>
      <c r="BK2752">
        <v>16</v>
      </c>
      <c r="BL2752">
        <v>567.24</v>
      </c>
      <c r="BM2752">
        <v>85.09</v>
      </c>
      <c r="BN2752">
        <v>652.33000000000004</v>
      </c>
      <c r="BO2752">
        <v>652.33000000000004</v>
      </c>
      <c r="BQ2752" t="s">
        <v>257</v>
      </c>
      <c r="BR2752" t="s">
        <v>97</v>
      </c>
      <c r="BS2752" s="3">
        <v>45954</v>
      </c>
      <c r="BT2752" s="4">
        <v>0.3888888888888889</v>
      </c>
      <c r="BU2752" t="s">
        <v>258</v>
      </c>
      <c r="BV2752" t="s">
        <v>86</v>
      </c>
      <c r="BY2752">
        <v>44640</v>
      </c>
      <c r="CA2752" t="s">
        <v>142</v>
      </c>
      <c r="CC2752" t="s">
        <v>109</v>
      </c>
      <c r="CD2752">
        <v>6001</v>
      </c>
      <c r="CE2752" t="s">
        <v>191</v>
      </c>
      <c r="CF2752" s="3">
        <v>45954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"080068699409"</f>
        <v>080068699409</v>
      </c>
      <c r="F2753" s="3">
        <v>45953</v>
      </c>
      <c r="G2753">
        <v>202607</v>
      </c>
      <c r="H2753" t="s">
        <v>79</v>
      </c>
      <c r="I2753" t="s">
        <v>80</v>
      </c>
      <c r="J2753" t="s">
        <v>91</v>
      </c>
      <c r="K2753" t="s">
        <v>78</v>
      </c>
      <c r="L2753" t="s">
        <v>265</v>
      </c>
      <c r="M2753" t="s">
        <v>266</v>
      </c>
      <c r="N2753" t="s">
        <v>267</v>
      </c>
      <c r="O2753" t="s">
        <v>82</v>
      </c>
      <c r="P2753" t="str">
        <f>"4170065655                    "</f>
        <v xml:space="preserve">4170065655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22.36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70.959999999999994</v>
      </c>
      <c r="BM2753">
        <v>10.64</v>
      </c>
      <c r="BN2753">
        <v>81.599999999999994</v>
      </c>
      <c r="BO2753">
        <v>81.599999999999994</v>
      </c>
      <c r="BQ2753" t="s">
        <v>268</v>
      </c>
      <c r="BR2753" t="s">
        <v>97</v>
      </c>
      <c r="BS2753" s="3">
        <v>45954</v>
      </c>
      <c r="BT2753" s="4">
        <v>0.34236111111111112</v>
      </c>
      <c r="BU2753" t="s">
        <v>3198</v>
      </c>
      <c r="BV2753" t="s">
        <v>86</v>
      </c>
      <c r="BY2753">
        <v>1200</v>
      </c>
      <c r="CA2753" t="s">
        <v>818</v>
      </c>
      <c r="CC2753" t="s">
        <v>266</v>
      </c>
      <c r="CD2753">
        <v>6230</v>
      </c>
      <c r="CE2753" t="s">
        <v>147</v>
      </c>
      <c r="CF2753" s="3">
        <v>45954</v>
      </c>
      <c r="CI2753">
        <v>1</v>
      </c>
      <c r="CJ2753">
        <v>1</v>
      </c>
      <c r="CK2753">
        <v>21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"080068699421"</f>
        <v>080068699421</v>
      </c>
      <c r="F2754" s="3">
        <v>45953</v>
      </c>
      <c r="G2754">
        <v>202607</v>
      </c>
      <c r="H2754" t="s">
        <v>79</v>
      </c>
      <c r="I2754" t="s">
        <v>80</v>
      </c>
      <c r="J2754" t="s">
        <v>91</v>
      </c>
      <c r="K2754" t="s">
        <v>78</v>
      </c>
      <c r="L2754" t="s">
        <v>300</v>
      </c>
      <c r="M2754" t="s">
        <v>301</v>
      </c>
      <c r="N2754" t="s">
        <v>523</v>
      </c>
      <c r="O2754" t="s">
        <v>82</v>
      </c>
      <c r="P2754" t="str">
        <f>"4170065656                    "</f>
        <v xml:space="preserve">4170065656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31.44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1.9</v>
      </c>
      <c r="BK2754">
        <v>2</v>
      </c>
      <c r="BL2754">
        <v>99.79</v>
      </c>
      <c r="BM2754">
        <v>14.97</v>
      </c>
      <c r="BN2754">
        <v>114.76</v>
      </c>
      <c r="BO2754">
        <v>114.76</v>
      </c>
      <c r="BQ2754" t="s">
        <v>524</v>
      </c>
      <c r="BR2754" t="s">
        <v>97</v>
      </c>
      <c r="BS2754" s="3">
        <v>45954</v>
      </c>
      <c r="BT2754" s="4">
        <v>0.4375</v>
      </c>
      <c r="BU2754" t="s">
        <v>3199</v>
      </c>
      <c r="BV2754" t="s">
        <v>86</v>
      </c>
      <c r="BY2754">
        <v>9600</v>
      </c>
      <c r="CC2754" t="s">
        <v>301</v>
      </c>
      <c r="CD2754">
        <v>1748</v>
      </c>
      <c r="CE2754" t="s">
        <v>191</v>
      </c>
      <c r="CF2754" s="3">
        <v>45954</v>
      </c>
      <c r="CI2754">
        <v>1</v>
      </c>
      <c r="CJ2754">
        <v>1</v>
      </c>
      <c r="CK2754">
        <v>24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"080068699437"</f>
        <v>080068699437</v>
      </c>
      <c r="F2755" s="3">
        <v>45953</v>
      </c>
      <c r="G2755">
        <v>202607</v>
      </c>
      <c r="H2755" t="s">
        <v>79</v>
      </c>
      <c r="I2755" t="s">
        <v>80</v>
      </c>
      <c r="J2755" t="s">
        <v>91</v>
      </c>
      <c r="K2755" t="s">
        <v>78</v>
      </c>
      <c r="L2755" t="s">
        <v>271</v>
      </c>
      <c r="M2755" t="s">
        <v>272</v>
      </c>
      <c r="N2755" t="s">
        <v>443</v>
      </c>
      <c r="O2755" t="s">
        <v>82</v>
      </c>
      <c r="P2755" t="str">
        <f>"4170065651                    "</f>
        <v xml:space="preserve">4170065651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17.46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55.42</v>
      </c>
      <c r="BM2755">
        <v>8.31</v>
      </c>
      <c r="BN2755">
        <v>63.73</v>
      </c>
      <c r="BO2755">
        <v>63.73</v>
      </c>
      <c r="BQ2755" t="s">
        <v>444</v>
      </c>
      <c r="BR2755" t="s">
        <v>97</v>
      </c>
      <c r="BS2755" s="3">
        <v>45954</v>
      </c>
      <c r="BT2755" s="4">
        <v>0.4375</v>
      </c>
      <c r="BU2755" t="s">
        <v>2487</v>
      </c>
      <c r="BV2755" t="s">
        <v>86</v>
      </c>
      <c r="BY2755">
        <v>1200</v>
      </c>
      <c r="CA2755" t="s">
        <v>661</v>
      </c>
      <c r="CC2755" t="s">
        <v>272</v>
      </c>
      <c r="CD2755">
        <v>1428</v>
      </c>
      <c r="CE2755" t="s">
        <v>147</v>
      </c>
      <c r="CF2755" s="3">
        <v>45955</v>
      </c>
      <c r="CI2755">
        <v>1</v>
      </c>
      <c r="CJ2755">
        <v>1</v>
      </c>
      <c r="CK2755">
        <v>22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"080068699482"</f>
        <v>080068699482</v>
      </c>
      <c r="F2756" s="3">
        <v>45953</v>
      </c>
      <c r="G2756">
        <v>202607</v>
      </c>
      <c r="H2756" t="s">
        <v>79</v>
      </c>
      <c r="I2756" t="s">
        <v>80</v>
      </c>
      <c r="J2756" t="s">
        <v>91</v>
      </c>
      <c r="K2756" t="s">
        <v>78</v>
      </c>
      <c r="L2756" t="s">
        <v>453</v>
      </c>
      <c r="M2756" t="s">
        <v>454</v>
      </c>
      <c r="N2756" t="s">
        <v>581</v>
      </c>
      <c r="O2756" t="s">
        <v>82</v>
      </c>
      <c r="P2756" t="str">
        <f>"4170065843                    "</f>
        <v xml:space="preserve">4170065843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22.36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1.1000000000000001</v>
      </c>
      <c r="BK2756">
        <v>1.5</v>
      </c>
      <c r="BL2756">
        <v>70.959999999999994</v>
      </c>
      <c r="BM2756">
        <v>10.64</v>
      </c>
      <c r="BN2756">
        <v>81.599999999999994</v>
      </c>
      <c r="BO2756">
        <v>81.599999999999994</v>
      </c>
      <c r="BQ2756" t="s">
        <v>582</v>
      </c>
      <c r="BR2756" t="s">
        <v>97</v>
      </c>
      <c r="BS2756" s="3">
        <v>45954</v>
      </c>
      <c r="BT2756" s="4">
        <v>0.39374999999999999</v>
      </c>
      <c r="BU2756" t="s">
        <v>583</v>
      </c>
      <c r="BV2756" t="s">
        <v>86</v>
      </c>
      <c r="BY2756">
        <v>5510</v>
      </c>
      <c r="CA2756" t="s">
        <v>742</v>
      </c>
      <c r="CC2756" t="s">
        <v>454</v>
      </c>
      <c r="CD2756">
        <v>3610</v>
      </c>
      <c r="CE2756" t="s">
        <v>191</v>
      </c>
      <c r="CF2756" s="3">
        <v>45954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"080068699485"</f>
        <v>080068699485</v>
      </c>
      <c r="F2757" s="3">
        <v>45953</v>
      </c>
      <c r="G2757">
        <v>202607</v>
      </c>
      <c r="H2757" t="s">
        <v>79</v>
      </c>
      <c r="I2757" t="s">
        <v>80</v>
      </c>
      <c r="J2757" t="s">
        <v>91</v>
      </c>
      <c r="K2757" t="s">
        <v>78</v>
      </c>
      <c r="L2757" t="s">
        <v>206</v>
      </c>
      <c r="M2757" t="s">
        <v>207</v>
      </c>
      <c r="N2757" t="s">
        <v>372</v>
      </c>
      <c r="O2757" t="s">
        <v>82</v>
      </c>
      <c r="P2757" t="str">
        <f>"4170065645                    "</f>
        <v xml:space="preserve">4170065645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22.36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70.959999999999994</v>
      </c>
      <c r="BM2757">
        <v>10.64</v>
      </c>
      <c r="BN2757">
        <v>81.599999999999994</v>
      </c>
      <c r="BO2757">
        <v>81.599999999999994</v>
      </c>
      <c r="BQ2757" t="s">
        <v>373</v>
      </c>
      <c r="BR2757" t="s">
        <v>97</v>
      </c>
      <c r="BS2757" s="3">
        <v>45954</v>
      </c>
      <c r="BT2757" s="4">
        <v>0.42430555555555555</v>
      </c>
      <c r="BU2757" t="s">
        <v>374</v>
      </c>
      <c r="BV2757" t="s">
        <v>86</v>
      </c>
      <c r="BY2757">
        <v>1200</v>
      </c>
      <c r="CA2757" t="s">
        <v>375</v>
      </c>
      <c r="CC2757" t="s">
        <v>207</v>
      </c>
      <c r="CD2757">
        <v>7800</v>
      </c>
      <c r="CE2757" t="s">
        <v>147</v>
      </c>
      <c r="CF2757" s="3">
        <v>45957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"080068699508"</f>
        <v>080068699508</v>
      </c>
      <c r="F2758" s="3">
        <v>45953</v>
      </c>
      <c r="G2758">
        <v>202607</v>
      </c>
      <c r="H2758" t="s">
        <v>79</v>
      </c>
      <c r="I2758" t="s">
        <v>80</v>
      </c>
      <c r="J2758" t="s">
        <v>91</v>
      </c>
      <c r="K2758" t="s">
        <v>78</v>
      </c>
      <c r="L2758" t="s">
        <v>121</v>
      </c>
      <c r="M2758" t="s">
        <v>122</v>
      </c>
      <c r="N2758" t="s">
        <v>3200</v>
      </c>
      <c r="O2758" t="s">
        <v>82</v>
      </c>
      <c r="P2758" t="str">
        <f>"4170065702                    "</f>
        <v xml:space="preserve">4170065702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22.36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70.959999999999994</v>
      </c>
      <c r="BM2758">
        <v>10.64</v>
      </c>
      <c r="BN2758">
        <v>81.599999999999994</v>
      </c>
      <c r="BO2758">
        <v>81.599999999999994</v>
      </c>
      <c r="BQ2758" t="s">
        <v>3201</v>
      </c>
      <c r="BR2758" t="s">
        <v>97</v>
      </c>
      <c r="BS2758" s="3">
        <v>45954</v>
      </c>
      <c r="BT2758" s="4">
        <v>0.40416666666666667</v>
      </c>
      <c r="BU2758" t="s">
        <v>3202</v>
      </c>
      <c r="BV2758" t="s">
        <v>86</v>
      </c>
      <c r="BY2758">
        <v>1200</v>
      </c>
      <c r="CA2758" t="s">
        <v>457</v>
      </c>
      <c r="CC2758" t="s">
        <v>122</v>
      </c>
      <c r="CD2758">
        <v>4071</v>
      </c>
      <c r="CE2758" t="s">
        <v>147</v>
      </c>
      <c r="CF2758" s="3">
        <v>45954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"080068394297"</f>
        <v>080068394297</v>
      </c>
      <c r="F2759" s="3">
        <v>45938</v>
      </c>
      <c r="G2759">
        <v>202607</v>
      </c>
      <c r="H2759" t="s">
        <v>79</v>
      </c>
      <c r="I2759" t="s">
        <v>80</v>
      </c>
      <c r="J2759" t="s">
        <v>1944</v>
      </c>
      <c r="K2759" t="s">
        <v>78</v>
      </c>
      <c r="L2759" t="s">
        <v>788</v>
      </c>
      <c r="M2759" t="s">
        <v>789</v>
      </c>
      <c r="N2759" t="s">
        <v>3203</v>
      </c>
      <c r="O2759" t="s">
        <v>3204</v>
      </c>
      <c r="P2759" t="str">
        <f>"4170063624                    "</f>
        <v xml:space="preserve">4170063624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507.86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1001.43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1575</v>
      </c>
      <c r="BH2759">
        <v>1</v>
      </c>
      <c r="BI2759">
        <v>1</v>
      </c>
      <c r="BJ2759">
        <v>0.2</v>
      </c>
      <c r="BK2759">
        <v>1</v>
      </c>
      <c r="BL2759">
        <v>3178.45</v>
      </c>
      <c r="BM2759">
        <v>476.77</v>
      </c>
      <c r="BN2759">
        <v>3655.22</v>
      </c>
      <c r="BO2759">
        <v>3655.22</v>
      </c>
      <c r="BQ2759" t="s">
        <v>3205</v>
      </c>
      <c r="BR2759" t="s">
        <v>1945</v>
      </c>
      <c r="BS2759" s="3">
        <v>45938</v>
      </c>
      <c r="BT2759" s="4">
        <v>0.88888888888888884</v>
      </c>
      <c r="BU2759" t="s">
        <v>3206</v>
      </c>
      <c r="BV2759" t="s">
        <v>86</v>
      </c>
      <c r="BY2759">
        <v>1200</v>
      </c>
      <c r="BZ2759" t="s">
        <v>3207</v>
      </c>
      <c r="CA2759" t="s">
        <v>146</v>
      </c>
      <c r="CC2759" t="s">
        <v>789</v>
      </c>
      <c r="CD2759">
        <v>3290</v>
      </c>
      <c r="CE2759" t="s">
        <v>162</v>
      </c>
      <c r="CF2759" s="3">
        <v>45939</v>
      </c>
      <c r="CI2759">
        <v>0</v>
      </c>
      <c r="CJ2759">
        <v>0</v>
      </c>
      <c r="CK2759">
        <v>-1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"080011656464"</f>
        <v>080011656464</v>
      </c>
      <c r="F2760" s="3">
        <v>45953</v>
      </c>
      <c r="G2760">
        <v>202607</v>
      </c>
      <c r="H2760" t="s">
        <v>233</v>
      </c>
      <c r="I2760" t="s">
        <v>234</v>
      </c>
      <c r="J2760" t="s">
        <v>3208</v>
      </c>
      <c r="K2760" t="s">
        <v>78</v>
      </c>
      <c r="L2760" t="s">
        <v>79</v>
      </c>
      <c r="M2760" t="s">
        <v>80</v>
      </c>
      <c r="N2760" t="s">
        <v>81</v>
      </c>
      <c r="O2760" t="s">
        <v>82</v>
      </c>
      <c r="P2760" t="str">
        <f>"ZA1001420101                  "</f>
        <v xml:space="preserve">ZA1001420101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33.520000000000003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3</v>
      </c>
      <c r="BJ2760">
        <v>2.4</v>
      </c>
      <c r="BK2760">
        <v>3</v>
      </c>
      <c r="BL2760">
        <v>106.4</v>
      </c>
      <c r="BM2760">
        <v>15.96</v>
      </c>
      <c r="BN2760">
        <v>122.36</v>
      </c>
      <c r="BO2760">
        <v>122.36</v>
      </c>
      <c r="BQ2760" t="s">
        <v>83</v>
      </c>
      <c r="BR2760" t="s">
        <v>3209</v>
      </c>
      <c r="BS2760" s="3">
        <v>45954</v>
      </c>
      <c r="BT2760" s="4">
        <v>0.40763888888888888</v>
      </c>
      <c r="BU2760" t="s">
        <v>85</v>
      </c>
      <c r="BV2760" t="s">
        <v>86</v>
      </c>
      <c r="BY2760">
        <v>12000</v>
      </c>
      <c r="BZ2760" t="s">
        <v>87</v>
      </c>
      <c r="CA2760" t="s">
        <v>88</v>
      </c>
      <c r="CC2760" t="s">
        <v>80</v>
      </c>
      <c r="CD2760">
        <v>1619</v>
      </c>
      <c r="CE2760" t="s">
        <v>89</v>
      </c>
      <c r="CF2760" s="3">
        <v>45954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"080068699513"</f>
        <v>080068699513</v>
      </c>
      <c r="F2761" s="3">
        <v>45953</v>
      </c>
      <c r="G2761">
        <v>202607</v>
      </c>
      <c r="H2761" t="s">
        <v>79</v>
      </c>
      <c r="I2761" t="s">
        <v>80</v>
      </c>
      <c r="J2761" t="s">
        <v>91</v>
      </c>
      <c r="K2761" t="s">
        <v>78</v>
      </c>
      <c r="L2761" t="s">
        <v>322</v>
      </c>
      <c r="M2761" t="s">
        <v>322</v>
      </c>
      <c r="N2761" t="s">
        <v>483</v>
      </c>
      <c r="O2761" t="s">
        <v>82</v>
      </c>
      <c r="P2761" t="str">
        <f>"4170065678                    "</f>
        <v xml:space="preserve">4170065678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82.43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</v>
      </c>
      <c r="BJ2761">
        <v>3.9</v>
      </c>
      <c r="BK2761">
        <v>4</v>
      </c>
      <c r="BL2761">
        <v>261.63</v>
      </c>
      <c r="BM2761">
        <v>39.24</v>
      </c>
      <c r="BN2761">
        <v>300.87</v>
      </c>
      <c r="BO2761">
        <v>300.87</v>
      </c>
      <c r="BQ2761" t="s">
        <v>486</v>
      </c>
      <c r="BR2761" t="s">
        <v>97</v>
      </c>
      <c r="BS2761" s="3">
        <v>45954</v>
      </c>
      <c r="BT2761" s="4">
        <v>0.50069444444444444</v>
      </c>
      <c r="BU2761" t="s">
        <v>485</v>
      </c>
      <c r="BV2761" t="s">
        <v>86</v>
      </c>
      <c r="BY2761">
        <v>19684</v>
      </c>
      <c r="CA2761" t="s">
        <v>326</v>
      </c>
      <c r="CC2761" t="s">
        <v>322</v>
      </c>
      <c r="CD2761">
        <v>7646</v>
      </c>
      <c r="CE2761" t="s">
        <v>107</v>
      </c>
      <c r="CF2761" s="3">
        <v>45957</v>
      </c>
      <c r="CI2761">
        <v>1</v>
      </c>
      <c r="CJ2761">
        <v>1</v>
      </c>
      <c r="CK2761">
        <v>23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"080068699535"</f>
        <v>080068699535</v>
      </c>
      <c r="F2762" s="3">
        <v>45953</v>
      </c>
      <c r="G2762">
        <v>202607</v>
      </c>
      <c r="H2762" t="s">
        <v>79</v>
      </c>
      <c r="I2762" t="s">
        <v>80</v>
      </c>
      <c r="J2762" t="s">
        <v>91</v>
      </c>
      <c r="K2762" t="s">
        <v>78</v>
      </c>
      <c r="L2762" t="s">
        <v>453</v>
      </c>
      <c r="M2762" t="s">
        <v>454</v>
      </c>
      <c r="N2762" t="s">
        <v>639</v>
      </c>
      <c r="O2762" t="s">
        <v>82</v>
      </c>
      <c r="P2762" t="str">
        <f>"4170065666                    "</f>
        <v xml:space="preserve">4170065666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22.36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70.959999999999994</v>
      </c>
      <c r="BM2762">
        <v>10.64</v>
      </c>
      <c r="BN2762">
        <v>81.599999999999994</v>
      </c>
      <c r="BO2762">
        <v>81.599999999999994</v>
      </c>
      <c r="BQ2762" t="s">
        <v>640</v>
      </c>
      <c r="BR2762" t="s">
        <v>97</v>
      </c>
      <c r="BS2762" s="3">
        <v>45954</v>
      </c>
      <c r="BT2762" s="4">
        <v>0.38263888888888886</v>
      </c>
      <c r="BU2762" t="s">
        <v>641</v>
      </c>
      <c r="BV2762" t="s">
        <v>86</v>
      </c>
      <c r="BY2762">
        <v>1200</v>
      </c>
      <c r="CA2762" t="s">
        <v>457</v>
      </c>
      <c r="CC2762" t="s">
        <v>454</v>
      </c>
      <c r="CD2762">
        <v>3610</v>
      </c>
      <c r="CE2762" t="s">
        <v>147</v>
      </c>
      <c r="CF2762" s="3">
        <v>45954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"080068699556"</f>
        <v>080068699556</v>
      </c>
      <c r="F2763" s="3">
        <v>45953</v>
      </c>
      <c r="G2763">
        <v>202607</v>
      </c>
      <c r="H2763" t="s">
        <v>79</v>
      </c>
      <c r="I2763" t="s">
        <v>80</v>
      </c>
      <c r="J2763" t="s">
        <v>91</v>
      </c>
      <c r="K2763" t="s">
        <v>78</v>
      </c>
      <c r="L2763" t="s">
        <v>121</v>
      </c>
      <c r="M2763" t="s">
        <v>122</v>
      </c>
      <c r="N2763" t="s">
        <v>1993</v>
      </c>
      <c r="O2763" t="s">
        <v>82</v>
      </c>
      <c r="P2763" t="str">
        <f>"4170065723                    "</f>
        <v xml:space="preserve">4170065723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22.36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0.9</v>
      </c>
      <c r="BK2763">
        <v>1</v>
      </c>
      <c r="BL2763">
        <v>70.959999999999994</v>
      </c>
      <c r="BM2763">
        <v>10.64</v>
      </c>
      <c r="BN2763">
        <v>81.599999999999994</v>
      </c>
      <c r="BO2763">
        <v>81.599999999999994</v>
      </c>
      <c r="BQ2763" t="s">
        <v>1994</v>
      </c>
      <c r="BR2763" t="s">
        <v>97</v>
      </c>
      <c r="BS2763" s="3">
        <v>45954</v>
      </c>
      <c r="BT2763" s="4">
        <v>0.375</v>
      </c>
      <c r="BU2763" t="s">
        <v>3210</v>
      </c>
      <c r="BV2763" t="s">
        <v>86</v>
      </c>
      <c r="BY2763">
        <v>4275</v>
      </c>
      <c r="CA2763" t="s">
        <v>2756</v>
      </c>
      <c r="CC2763" t="s">
        <v>122</v>
      </c>
      <c r="CD2763">
        <v>4068</v>
      </c>
      <c r="CE2763" t="s">
        <v>191</v>
      </c>
      <c r="CF2763" s="3">
        <v>45954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"080068699562"</f>
        <v>080068699562</v>
      </c>
      <c r="F2764" s="3">
        <v>45953</v>
      </c>
      <c r="G2764">
        <v>202607</v>
      </c>
      <c r="H2764" t="s">
        <v>79</v>
      </c>
      <c r="I2764" t="s">
        <v>80</v>
      </c>
      <c r="J2764" t="s">
        <v>91</v>
      </c>
      <c r="K2764" t="s">
        <v>78</v>
      </c>
      <c r="L2764" t="s">
        <v>1765</v>
      </c>
      <c r="M2764" t="s">
        <v>1766</v>
      </c>
      <c r="N2764" t="s">
        <v>2898</v>
      </c>
      <c r="O2764" t="s">
        <v>82</v>
      </c>
      <c r="P2764" t="str">
        <f>"4170065625                    "</f>
        <v xml:space="preserve">4170065625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43.31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0.2</v>
      </c>
      <c r="BJ2764">
        <v>1</v>
      </c>
      <c r="BK2764">
        <v>1</v>
      </c>
      <c r="BL2764">
        <v>137.47</v>
      </c>
      <c r="BM2764">
        <v>20.62</v>
      </c>
      <c r="BN2764">
        <v>158.09</v>
      </c>
      <c r="BO2764">
        <v>158.09</v>
      </c>
      <c r="BQ2764" t="s">
        <v>2899</v>
      </c>
      <c r="BR2764" t="s">
        <v>97</v>
      </c>
      <c r="BS2764" s="3">
        <v>45954</v>
      </c>
      <c r="BT2764" s="4">
        <v>0.40277777777777779</v>
      </c>
      <c r="BU2764" t="s">
        <v>2900</v>
      </c>
      <c r="BV2764" t="s">
        <v>86</v>
      </c>
      <c r="BY2764">
        <v>4857.84</v>
      </c>
      <c r="CA2764" t="s">
        <v>2109</v>
      </c>
      <c r="CC2764" t="s">
        <v>1766</v>
      </c>
      <c r="CD2764">
        <v>1034</v>
      </c>
      <c r="CE2764" t="s">
        <v>147</v>
      </c>
      <c r="CF2764" s="3">
        <v>45957</v>
      </c>
      <c r="CI2764">
        <v>1</v>
      </c>
      <c r="CJ2764">
        <v>1</v>
      </c>
      <c r="CK2764">
        <v>23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"080068699583"</f>
        <v>080068699583</v>
      </c>
      <c r="F2765" s="3">
        <v>45953</v>
      </c>
      <c r="G2765">
        <v>202607</v>
      </c>
      <c r="H2765" t="s">
        <v>79</v>
      </c>
      <c r="I2765" t="s">
        <v>80</v>
      </c>
      <c r="J2765" t="s">
        <v>91</v>
      </c>
      <c r="K2765" t="s">
        <v>78</v>
      </c>
      <c r="L2765" t="s">
        <v>223</v>
      </c>
      <c r="M2765" t="s">
        <v>224</v>
      </c>
      <c r="N2765" t="s">
        <v>1729</v>
      </c>
      <c r="O2765" t="s">
        <v>82</v>
      </c>
      <c r="P2765" t="str">
        <f>"4170065734                    "</f>
        <v xml:space="preserve">4170065734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17.46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55.42</v>
      </c>
      <c r="BM2765">
        <v>8.31</v>
      </c>
      <c r="BN2765">
        <v>63.73</v>
      </c>
      <c r="BO2765">
        <v>63.73</v>
      </c>
      <c r="BQ2765" t="s">
        <v>1730</v>
      </c>
      <c r="BR2765" t="s">
        <v>97</v>
      </c>
      <c r="BS2765" s="3">
        <v>45954</v>
      </c>
      <c r="BT2765" s="4">
        <v>0.32777777777777778</v>
      </c>
      <c r="BU2765" t="s">
        <v>3199</v>
      </c>
      <c r="BV2765" t="s">
        <v>86</v>
      </c>
      <c r="BY2765">
        <v>1200</v>
      </c>
      <c r="CA2765" t="s">
        <v>508</v>
      </c>
      <c r="CC2765" t="s">
        <v>224</v>
      </c>
      <c r="CD2765">
        <v>1459</v>
      </c>
      <c r="CE2765" t="s">
        <v>147</v>
      </c>
      <c r="CF2765" s="3">
        <v>45954</v>
      </c>
      <c r="CI2765">
        <v>1</v>
      </c>
      <c r="CJ2765">
        <v>1</v>
      </c>
      <c r="CK2765">
        <v>22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"080068699586"</f>
        <v>080068699586</v>
      </c>
      <c r="F2766" s="3">
        <v>45953</v>
      </c>
      <c r="G2766">
        <v>202607</v>
      </c>
      <c r="H2766" t="s">
        <v>79</v>
      </c>
      <c r="I2766" t="s">
        <v>80</v>
      </c>
      <c r="J2766" t="s">
        <v>91</v>
      </c>
      <c r="K2766" t="s">
        <v>78</v>
      </c>
      <c r="L2766" t="s">
        <v>206</v>
      </c>
      <c r="M2766" t="s">
        <v>207</v>
      </c>
      <c r="N2766" t="s">
        <v>656</v>
      </c>
      <c r="O2766" t="s">
        <v>82</v>
      </c>
      <c r="P2766" t="str">
        <f>"4170065805                    "</f>
        <v xml:space="preserve">4170065805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39.11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3</v>
      </c>
      <c r="BJ2766">
        <v>3.4</v>
      </c>
      <c r="BK2766">
        <v>3.5</v>
      </c>
      <c r="BL2766">
        <v>124.13</v>
      </c>
      <c r="BM2766">
        <v>18.62</v>
      </c>
      <c r="BN2766">
        <v>142.75</v>
      </c>
      <c r="BO2766">
        <v>142.75</v>
      </c>
      <c r="BQ2766" t="s">
        <v>657</v>
      </c>
      <c r="BR2766" t="s">
        <v>97</v>
      </c>
      <c r="BS2766" s="3">
        <v>45954</v>
      </c>
      <c r="BT2766" s="4">
        <v>0.39861111111111114</v>
      </c>
      <c r="BU2766" t="s">
        <v>658</v>
      </c>
      <c r="BV2766" t="s">
        <v>86</v>
      </c>
      <c r="BY2766">
        <v>16965</v>
      </c>
      <c r="CA2766" t="s">
        <v>211</v>
      </c>
      <c r="CC2766" t="s">
        <v>207</v>
      </c>
      <c r="CD2766">
        <v>7441</v>
      </c>
      <c r="CE2766" t="s">
        <v>191</v>
      </c>
      <c r="CF2766" s="3">
        <v>45957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"080068699600"</f>
        <v>080068699600</v>
      </c>
      <c r="F2767" s="3">
        <v>45953</v>
      </c>
      <c r="G2767">
        <v>202607</v>
      </c>
      <c r="H2767" t="s">
        <v>79</v>
      </c>
      <c r="I2767" t="s">
        <v>80</v>
      </c>
      <c r="J2767" t="s">
        <v>91</v>
      </c>
      <c r="K2767" t="s">
        <v>78</v>
      </c>
      <c r="L2767" t="s">
        <v>333</v>
      </c>
      <c r="M2767" t="s">
        <v>334</v>
      </c>
      <c r="N2767" t="s">
        <v>794</v>
      </c>
      <c r="O2767" t="s">
        <v>82</v>
      </c>
      <c r="P2767" t="str">
        <f>"4170065852                    "</f>
        <v xml:space="preserve">4170065852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22.36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70.959999999999994</v>
      </c>
      <c r="BM2767">
        <v>10.64</v>
      </c>
      <c r="BN2767">
        <v>81.599999999999994</v>
      </c>
      <c r="BO2767">
        <v>81.599999999999994</v>
      </c>
      <c r="BQ2767" t="s">
        <v>795</v>
      </c>
      <c r="BR2767" t="s">
        <v>97</v>
      </c>
      <c r="BS2767" s="3">
        <v>45954</v>
      </c>
      <c r="BT2767" s="4">
        <v>0.43194444444444446</v>
      </c>
      <c r="BU2767" t="s">
        <v>796</v>
      </c>
      <c r="BV2767" t="s">
        <v>86</v>
      </c>
      <c r="BY2767">
        <v>1200</v>
      </c>
      <c r="CA2767" t="s">
        <v>142</v>
      </c>
      <c r="CC2767" t="s">
        <v>334</v>
      </c>
      <c r="CD2767">
        <v>6220</v>
      </c>
      <c r="CE2767" t="s">
        <v>147</v>
      </c>
      <c r="CF2767" s="3">
        <v>45954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"080068699639"</f>
        <v>080068699639</v>
      </c>
      <c r="F2768" s="3">
        <v>45953</v>
      </c>
      <c r="G2768">
        <v>202607</v>
      </c>
      <c r="H2768" t="s">
        <v>79</v>
      </c>
      <c r="I2768" t="s">
        <v>80</v>
      </c>
      <c r="J2768" t="s">
        <v>91</v>
      </c>
      <c r="K2768" t="s">
        <v>78</v>
      </c>
      <c r="L2768" t="s">
        <v>114</v>
      </c>
      <c r="M2768" t="s">
        <v>115</v>
      </c>
      <c r="N2768" t="s">
        <v>1014</v>
      </c>
      <c r="O2768" t="s">
        <v>82</v>
      </c>
      <c r="P2768" t="str">
        <f>"4170065657                    "</f>
        <v xml:space="preserve">4170065657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22.36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70.959999999999994</v>
      </c>
      <c r="BM2768">
        <v>10.64</v>
      </c>
      <c r="BN2768">
        <v>81.599999999999994</v>
      </c>
      <c r="BO2768">
        <v>81.599999999999994</v>
      </c>
      <c r="BQ2768" t="s">
        <v>1015</v>
      </c>
      <c r="BR2768" t="s">
        <v>97</v>
      </c>
      <c r="BS2768" s="3">
        <v>45957</v>
      </c>
      <c r="BT2768" s="4">
        <v>0.4548611111111111</v>
      </c>
      <c r="BU2768" t="s">
        <v>3211</v>
      </c>
      <c r="BV2768" t="s">
        <v>90</v>
      </c>
      <c r="BY2768">
        <v>1200</v>
      </c>
      <c r="CA2768" t="s">
        <v>1755</v>
      </c>
      <c r="CC2768" t="s">
        <v>115</v>
      </c>
      <c r="CD2768">
        <v>5200</v>
      </c>
      <c r="CE2768" t="s">
        <v>147</v>
      </c>
      <c r="CF2768" s="3">
        <v>45957</v>
      </c>
      <c r="CI2768">
        <v>1</v>
      </c>
      <c r="CJ2768">
        <v>2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"080068699642"</f>
        <v>080068699642</v>
      </c>
      <c r="F2769" s="3">
        <v>45953</v>
      </c>
      <c r="G2769">
        <v>202607</v>
      </c>
      <c r="H2769" t="s">
        <v>79</v>
      </c>
      <c r="I2769" t="s">
        <v>80</v>
      </c>
      <c r="J2769" t="s">
        <v>91</v>
      </c>
      <c r="K2769" t="s">
        <v>78</v>
      </c>
      <c r="L2769" t="s">
        <v>206</v>
      </c>
      <c r="M2769" t="s">
        <v>207</v>
      </c>
      <c r="N2769" t="s">
        <v>656</v>
      </c>
      <c r="O2769" t="s">
        <v>82</v>
      </c>
      <c r="P2769" t="str">
        <f>"4170065692                    "</f>
        <v xml:space="preserve">4170065692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22.36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2</v>
      </c>
      <c r="BJ2769">
        <v>1.8</v>
      </c>
      <c r="BK2769">
        <v>2</v>
      </c>
      <c r="BL2769">
        <v>70.959999999999994</v>
      </c>
      <c r="BM2769">
        <v>10.64</v>
      </c>
      <c r="BN2769">
        <v>81.599999999999994</v>
      </c>
      <c r="BO2769">
        <v>81.599999999999994</v>
      </c>
      <c r="BQ2769" t="s">
        <v>657</v>
      </c>
      <c r="BR2769" t="s">
        <v>97</v>
      </c>
      <c r="BS2769" s="3">
        <v>45954</v>
      </c>
      <c r="BT2769" s="4">
        <v>0.39861111111111114</v>
      </c>
      <c r="BU2769" t="s">
        <v>658</v>
      </c>
      <c r="BV2769" t="s">
        <v>86</v>
      </c>
      <c r="BY2769">
        <v>8816</v>
      </c>
      <c r="CA2769" t="s">
        <v>211</v>
      </c>
      <c r="CC2769" t="s">
        <v>207</v>
      </c>
      <c r="CD2769">
        <v>7441</v>
      </c>
      <c r="CE2769" t="s">
        <v>191</v>
      </c>
      <c r="CF2769" s="3">
        <v>45957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"080068699678"</f>
        <v>080068699678</v>
      </c>
      <c r="F2770" s="3">
        <v>45953</v>
      </c>
      <c r="G2770">
        <v>202607</v>
      </c>
      <c r="H2770" t="s">
        <v>79</v>
      </c>
      <c r="I2770" t="s">
        <v>80</v>
      </c>
      <c r="J2770" t="s">
        <v>91</v>
      </c>
      <c r="K2770" t="s">
        <v>78</v>
      </c>
      <c r="L2770" t="s">
        <v>92</v>
      </c>
      <c r="M2770" t="s">
        <v>93</v>
      </c>
      <c r="N2770" t="s">
        <v>3212</v>
      </c>
      <c r="O2770" t="s">
        <v>82</v>
      </c>
      <c r="P2770" t="str">
        <f>"4170065622                    "</f>
        <v xml:space="preserve">4170065622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22.36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70.959999999999994</v>
      </c>
      <c r="BM2770">
        <v>10.64</v>
      </c>
      <c r="BN2770">
        <v>81.599999999999994</v>
      </c>
      <c r="BO2770">
        <v>81.599999999999994</v>
      </c>
      <c r="BQ2770" t="s">
        <v>3213</v>
      </c>
      <c r="BR2770" t="s">
        <v>97</v>
      </c>
      <c r="BS2770" s="3">
        <v>45954</v>
      </c>
      <c r="BT2770" s="4">
        <v>0.43263888888888891</v>
      </c>
      <c r="BU2770" t="s">
        <v>3214</v>
      </c>
      <c r="BV2770" t="s">
        <v>86</v>
      </c>
      <c r="BY2770">
        <v>1200</v>
      </c>
      <c r="CA2770" t="s">
        <v>1494</v>
      </c>
      <c r="CC2770" t="s">
        <v>93</v>
      </c>
      <c r="CD2770">
        <v>3201</v>
      </c>
      <c r="CE2770" t="s">
        <v>147</v>
      </c>
      <c r="CF2770" s="3">
        <v>45955</v>
      </c>
      <c r="CI2770">
        <v>1</v>
      </c>
      <c r="CJ2770">
        <v>1</v>
      </c>
      <c r="CK2770">
        <v>21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"080068699689"</f>
        <v>080068699689</v>
      </c>
      <c r="F2771" s="3">
        <v>45953</v>
      </c>
      <c r="G2771">
        <v>202607</v>
      </c>
      <c r="H2771" t="s">
        <v>79</v>
      </c>
      <c r="I2771" t="s">
        <v>80</v>
      </c>
      <c r="J2771" t="s">
        <v>91</v>
      </c>
      <c r="K2771" t="s">
        <v>78</v>
      </c>
      <c r="L2771" t="s">
        <v>206</v>
      </c>
      <c r="M2771" t="s">
        <v>207</v>
      </c>
      <c r="N2771" t="s">
        <v>2660</v>
      </c>
      <c r="O2771" t="s">
        <v>82</v>
      </c>
      <c r="P2771" t="str">
        <f>"4170065771                    "</f>
        <v xml:space="preserve">4170065771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22.36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1.1000000000000001</v>
      </c>
      <c r="BK2771">
        <v>1.5</v>
      </c>
      <c r="BL2771">
        <v>70.959999999999994</v>
      </c>
      <c r="BM2771">
        <v>10.64</v>
      </c>
      <c r="BN2771">
        <v>81.599999999999994</v>
      </c>
      <c r="BO2771">
        <v>81.599999999999994</v>
      </c>
      <c r="BQ2771" t="s">
        <v>2661</v>
      </c>
      <c r="BR2771" t="s">
        <v>97</v>
      </c>
      <c r="BS2771" s="3">
        <v>45954</v>
      </c>
      <c r="BT2771" s="4">
        <v>0.40277777777777779</v>
      </c>
      <c r="BU2771" t="s">
        <v>3215</v>
      </c>
      <c r="BV2771" t="s">
        <v>86</v>
      </c>
      <c r="BY2771">
        <v>5510</v>
      </c>
      <c r="CA2771" t="s">
        <v>480</v>
      </c>
      <c r="CC2771" t="s">
        <v>207</v>
      </c>
      <c r="CD2771">
        <v>7460</v>
      </c>
      <c r="CE2771" t="s">
        <v>191</v>
      </c>
      <c r="CF2771" s="3">
        <v>45957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"080068699697"</f>
        <v>080068699697</v>
      </c>
      <c r="F2772" s="3">
        <v>45953</v>
      </c>
      <c r="G2772">
        <v>202607</v>
      </c>
      <c r="H2772" t="s">
        <v>79</v>
      </c>
      <c r="I2772" t="s">
        <v>80</v>
      </c>
      <c r="J2772" t="s">
        <v>91</v>
      </c>
      <c r="K2772" t="s">
        <v>78</v>
      </c>
      <c r="L2772" t="s">
        <v>108</v>
      </c>
      <c r="M2772" t="s">
        <v>109</v>
      </c>
      <c r="N2772" t="s">
        <v>1203</v>
      </c>
      <c r="O2772" t="s">
        <v>82</v>
      </c>
      <c r="P2772" t="str">
        <f>"4170065814                    "</f>
        <v xml:space="preserve">4170065814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22.36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70.959999999999994</v>
      </c>
      <c r="BM2772">
        <v>10.64</v>
      </c>
      <c r="BN2772">
        <v>81.599999999999994</v>
      </c>
      <c r="BO2772">
        <v>81.599999999999994</v>
      </c>
      <c r="BQ2772" t="s">
        <v>1204</v>
      </c>
      <c r="BR2772" t="s">
        <v>97</v>
      </c>
      <c r="BS2772" s="3">
        <v>45954</v>
      </c>
      <c r="BT2772" s="4">
        <v>0.39374999999999999</v>
      </c>
      <c r="BU2772" t="s">
        <v>3216</v>
      </c>
      <c r="BV2772" t="s">
        <v>86</v>
      </c>
      <c r="BY2772">
        <v>1200</v>
      </c>
      <c r="CA2772" t="s">
        <v>1090</v>
      </c>
      <c r="CC2772" t="s">
        <v>109</v>
      </c>
      <c r="CD2772">
        <v>6012</v>
      </c>
      <c r="CE2772" t="s">
        <v>147</v>
      </c>
      <c r="CF2772" s="3">
        <v>45954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"080068699711"</f>
        <v>080068699711</v>
      </c>
      <c r="F2773" s="3">
        <v>45953</v>
      </c>
      <c r="G2773">
        <v>202607</v>
      </c>
      <c r="H2773" t="s">
        <v>79</v>
      </c>
      <c r="I2773" t="s">
        <v>80</v>
      </c>
      <c r="J2773" t="s">
        <v>91</v>
      </c>
      <c r="K2773" t="s">
        <v>78</v>
      </c>
      <c r="L2773" t="s">
        <v>108</v>
      </c>
      <c r="M2773" t="s">
        <v>109</v>
      </c>
      <c r="N2773" t="s">
        <v>997</v>
      </c>
      <c r="O2773" t="s">
        <v>82</v>
      </c>
      <c r="P2773" t="str">
        <f>"4170065627                    "</f>
        <v xml:space="preserve">4170065627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22.36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70.959999999999994</v>
      </c>
      <c r="BM2773">
        <v>10.64</v>
      </c>
      <c r="BN2773">
        <v>81.599999999999994</v>
      </c>
      <c r="BO2773">
        <v>81.599999999999994</v>
      </c>
      <c r="BQ2773" t="s">
        <v>998</v>
      </c>
      <c r="BR2773" t="s">
        <v>97</v>
      </c>
      <c r="BS2773" s="3">
        <v>45954</v>
      </c>
      <c r="BT2773" s="4">
        <v>0.40277777777777779</v>
      </c>
      <c r="BU2773" t="s">
        <v>3217</v>
      </c>
      <c r="BV2773" t="s">
        <v>86</v>
      </c>
      <c r="BY2773">
        <v>1200</v>
      </c>
      <c r="CA2773" t="s">
        <v>1000</v>
      </c>
      <c r="CC2773" t="s">
        <v>109</v>
      </c>
      <c r="CD2773">
        <v>6001</v>
      </c>
      <c r="CE2773" t="s">
        <v>147</v>
      </c>
      <c r="CF2773" s="3">
        <v>45954</v>
      </c>
      <c r="CI2773">
        <v>1</v>
      </c>
      <c r="CJ2773">
        <v>1</v>
      </c>
      <c r="CK2773">
        <v>21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"080068699713"</f>
        <v>080068699713</v>
      </c>
      <c r="F2774" s="3">
        <v>45953</v>
      </c>
      <c r="G2774">
        <v>202607</v>
      </c>
      <c r="H2774" t="s">
        <v>79</v>
      </c>
      <c r="I2774" t="s">
        <v>80</v>
      </c>
      <c r="J2774" t="s">
        <v>91</v>
      </c>
      <c r="K2774" t="s">
        <v>78</v>
      </c>
      <c r="L2774" t="s">
        <v>92</v>
      </c>
      <c r="M2774" t="s">
        <v>93</v>
      </c>
      <c r="N2774" t="s">
        <v>2047</v>
      </c>
      <c r="O2774" t="s">
        <v>95</v>
      </c>
      <c r="P2774" t="str">
        <f>"4170065829                    "</f>
        <v xml:space="preserve">4170065829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46.8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8.9</v>
      </c>
      <c r="BJ2774">
        <v>16.399999999999999</v>
      </c>
      <c r="BK2774">
        <v>17</v>
      </c>
      <c r="BL2774">
        <v>154.41</v>
      </c>
      <c r="BM2774">
        <v>23.16</v>
      </c>
      <c r="BN2774">
        <v>177.57</v>
      </c>
      <c r="BO2774">
        <v>177.57</v>
      </c>
      <c r="BQ2774" t="s">
        <v>2048</v>
      </c>
      <c r="BR2774" t="s">
        <v>97</v>
      </c>
      <c r="BS2774" s="3">
        <v>45954</v>
      </c>
      <c r="BT2774" s="4">
        <v>0.44097222222222221</v>
      </c>
      <c r="BU2774" t="s">
        <v>3070</v>
      </c>
      <c r="BV2774" t="s">
        <v>86</v>
      </c>
      <c r="BY2774">
        <v>81895.45</v>
      </c>
      <c r="CC2774" t="s">
        <v>93</v>
      </c>
      <c r="CD2774">
        <v>3212</v>
      </c>
      <c r="CE2774" t="s">
        <v>191</v>
      </c>
      <c r="CF2774" s="3">
        <v>45955</v>
      </c>
      <c r="CI2774">
        <v>3</v>
      </c>
      <c r="CJ2774">
        <v>1</v>
      </c>
      <c r="CK2774">
        <v>41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"080068699728"</f>
        <v>080068699728</v>
      </c>
      <c r="F2775" s="3">
        <v>45953</v>
      </c>
      <c r="G2775">
        <v>202607</v>
      </c>
      <c r="H2775" t="s">
        <v>79</v>
      </c>
      <c r="I2775" t="s">
        <v>80</v>
      </c>
      <c r="J2775" t="s">
        <v>91</v>
      </c>
      <c r="K2775" t="s">
        <v>78</v>
      </c>
      <c r="L2775" t="s">
        <v>108</v>
      </c>
      <c r="M2775" t="s">
        <v>109</v>
      </c>
      <c r="N2775" t="s">
        <v>229</v>
      </c>
      <c r="O2775" t="s">
        <v>82</v>
      </c>
      <c r="P2775" t="str">
        <f>"4170065709                    "</f>
        <v xml:space="preserve">4170065709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22.36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70.959999999999994</v>
      </c>
      <c r="BM2775">
        <v>10.64</v>
      </c>
      <c r="BN2775">
        <v>81.599999999999994</v>
      </c>
      <c r="BO2775">
        <v>81.599999999999994</v>
      </c>
      <c r="BQ2775" t="s">
        <v>230</v>
      </c>
      <c r="BR2775" t="s">
        <v>97</v>
      </c>
      <c r="BS2775" s="3">
        <v>45954</v>
      </c>
      <c r="BT2775" s="4">
        <v>0.41319444444444442</v>
      </c>
      <c r="BU2775" t="s">
        <v>3160</v>
      </c>
      <c r="BV2775" t="s">
        <v>86</v>
      </c>
      <c r="BY2775">
        <v>1200</v>
      </c>
      <c r="CA2775" t="s">
        <v>1145</v>
      </c>
      <c r="CC2775" t="s">
        <v>109</v>
      </c>
      <c r="CD2775">
        <v>6001</v>
      </c>
      <c r="CE2775" t="s">
        <v>147</v>
      </c>
      <c r="CF2775" s="3">
        <v>45954</v>
      </c>
      <c r="CI2775">
        <v>1</v>
      </c>
      <c r="CJ2775">
        <v>1</v>
      </c>
      <c r="CK2775">
        <v>21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"080068699739"</f>
        <v>080068699739</v>
      </c>
      <c r="F2776" s="3">
        <v>45953</v>
      </c>
      <c r="G2776">
        <v>202607</v>
      </c>
      <c r="H2776" t="s">
        <v>79</v>
      </c>
      <c r="I2776" t="s">
        <v>80</v>
      </c>
      <c r="J2776" t="s">
        <v>91</v>
      </c>
      <c r="K2776" t="s">
        <v>78</v>
      </c>
      <c r="L2776" t="s">
        <v>206</v>
      </c>
      <c r="M2776" t="s">
        <v>207</v>
      </c>
      <c r="N2776" t="s">
        <v>943</v>
      </c>
      <c r="O2776" t="s">
        <v>82</v>
      </c>
      <c r="P2776" t="str">
        <f>"4170065739                    "</f>
        <v xml:space="preserve">4170065739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44.69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3</v>
      </c>
      <c r="BJ2776">
        <v>3.7</v>
      </c>
      <c r="BK2776">
        <v>4</v>
      </c>
      <c r="BL2776">
        <v>141.85</v>
      </c>
      <c r="BM2776">
        <v>21.28</v>
      </c>
      <c r="BN2776">
        <v>163.13</v>
      </c>
      <c r="BO2776">
        <v>163.13</v>
      </c>
      <c r="BQ2776" t="s">
        <v>944</v>
      </c>
      <c r="BR2776" t="s">
        <v>97</v>
      </c>
      <c r="BS2776" s="3">
        <v>45954</v>
      </c>
      <c r="BT2776" s="4">
        <v>0.45763888888888887</v>
      </c>
      <c r="BU2776" t="s">
        <v>3218</v>
      </c>
      <c r="BV2776" t="s">
        <v>90</v>
      </c>
      <c r="BW2776" t="s">
        <v>347</v>
      </c>
      <c r="BX2776" t="s">
        <v>451</v>
      </c>
      <c r="BY2776">
        <v>18432</v>
      </c>
      <c r="CA2776" t="s">
        <v>461</v>
      </c>
      <c r="CC2776" t="s">
        <v>207</v>
      </c>
      <c r="CD2776">
        <v>7535</v>
      </c>
      <c r="CE2776" t="s">
        <v>107</v>
      </c>
      <c r="CF2776" s="3">
        <v>45957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"080068699802"</f>
        <v>080068699802</v>
      </c>
      <c r="F2777" s="3">
        <v>45953</v>
      </c>
      <c r="G2777">
        <v>202607</v>
      </c>
      <c r="H2777" t="s">
        <v>79</v>
      </c>
      <c r="I2777" t="s">
        <v>80</v>
      </c>
      <c r="J2777" t="s">
        <v>91</v>
      </c>
      <c r="K2777" t="s">
        <v>78</v>
      </c>
      <c r="L2777" t="s">
        <v>1208</v>
      </c>
      <c r="M2777" t="s">
        <v>1209</v>
      </c>
      <c r="N2777" t="s">
        <v>1210</v>
      </c>
      <c r="O2777" t="s">
        <v>82</v>
      </c>
      <c r="P2777" t="str">
        <f>"4170065778                    "</f>
        <v xml:space="preserve">4170065778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101.99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4.7</v>
      </c>
      <c r="BJ2777">
        <v>2.9</v>
      </c>
      <c r="BK2777">
        <v>5</v>
      </c>
      <c r="BL2777">
        <v>323.70999999999998</v>
      </c>
      <c r="BM2777">
        <v>48.56</v>
      </c>
      <c r="BN2777">
        <v>372.27</v>
      </c>
      <c r="BO2777">
        <v>372.27</v>
      </c>
      <c r="BQ2777" t="s">
        <v>1211</v>
      </c>
      <c r="BR2777" t="s">
        <v>97</v>
      </c>
      <c r="BS2777" s="3">
        <v>45954</v>
      </c>
      <c r="BT2777" s="4">
        <v>0.72083333333333333</v>
      </c>
      <c r="BU2777" t="s">
        <v>3219</v>
      </c>
      <c r="BV2777" t="s">
        <v>86</v>
      </c>
      <c r="BY2777">
        <v>14513.52</v>
      </c>
      <c r="CC2777" t="s">
        <v>1209</v>
      </c>
      <c r="CD2777">
        <v>9880</v>
      </c>
      <c r="CE2777" t="s">
        <v>107</v>
      </c>
      <c r="CF2777" s="3">
        <v>45957</v>
      </c>
      <c r="CI2777">
        <v>1</v>
      </c>
      <c r="CJ2777">
        <v>1</v>
      </c>
      <c r="CK2777">
        <v>23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"080068699827"</f>
        <v>080068699827</v>
      </c>
      <c r="F2778" s="3">
        <v>45953</v>
      </c>
      <c r="G2778">
        <v>202607</v>
      </c>
      <c r="H2778" t="s">
        <v>79</v>
      </c>
      <c r="I2778" t="s">
        <v>80</v>
      </c>
      <c r="J2778" t="s">
        <v>91</v>
      </c>
      <c r="K2778" t="s">
        <v>78</v>
      </c>
      <c r="L2778" t="s">
        <v>148</v>
      </c>
      <c r="M2778" t="s">
        <v>149</v>
      </c>
      <c r="N2778" t="s">
        <v>2275</v>
      </c>
      <c r="O2778" t="s">
        <v>82</v>
      </c>
      <c r="P2778" t="str">
        <f>"4170065640                    "</f>
        <v xml:space="preserve">4170065640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17.46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55.42</v>
      </c>
      <c r="BM2778">
        <v>8.31</v>
      </c>
      <c r="BN2778">
        <v>63.73</v>
      </c>
      <c r="BO2778">
        <v>63.73</v>
      </c>
      <c r="BQ2778" t="s">
        <v>2276</v>
      </c>
      <c r="BR2778" t="s">
        <v>97</v>
      </c>
      <c r="BS2778" s="3">
        <v>45954</v>
      </c>
      <c r="BT2778" s="4">
        <v>0.34027777777777779</v>
      </c>
      <c r="BU2778" t="s">
        <v>2277</v>
      </c>
      <c r="BV2778" t="s">
        <v>86</v>
      </c>
      <c r="BY2778">
        <v>1200</v>
      </c>
      <c r="CA2778" t="s">
        <v>1463</v>
      </c>
      <c r="CC2778" t="s">
        <v>149</v>
      </c>
      <c r="CD2778">
        <v>2190</v>
      </c>
      <c r="CE2778" t="s">
        <v>147</v>
      </c>
      <c r="CF2778" s="3">
        <v>45954</v>
      </c>
      <c r="CI2778">
        <v>1</v>
      </c>
      <c r="CJ2778">
        <v>1</v>
      </c>
      <c r="CK2778">
        <v>22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"080068699840"</f>
        <v>080068699840</v>
      </c>
      <c r="F2779" s="3">
        <v>45953</v>
      </c>
      <c r="G2779">
        <v>202607</v>
      </c>
      <c r="H2779" t="s">
        <v>79</v>
      </c>
      <c r="I2779" t="s">
        <v>80</v>
      </c>
      <c r="J2779" t="s">
        <v>91</v>
      </c>
      <c r="K2779" t="s">
        <v>78</v>
      </c>
      <c r="L2779" t="s">
        <v>121</v>
      </c>
      <c r="M2779" t="s">
        <v>122</v>
      </c>
      <c r="N2779" t="s">
        <v>1557</v>
      </c>
      <c r="O2779" t="s">
        <v>82</v>
      </c>
      <c r="P2779" t="str">
        <f>"4170065749                    "</f>
        <v xml:space="preserve">4170065749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78.2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7</v>
      </c>
      <c r="BJ2779">
        <v>3</v>
      </c>
      <c r="BK2779">
        <v>7</v>
      </c>
      <c r="BL2779">
        <v>248.2</v>
      </c>
      <c r="BM2779">
        <v>37.229999999999997</v>
      </c>
      <c r="BN2779">
        <v>285.43</v>
      </c>
      <c r="BO2779">
        <v>285.43</v>
      </c>
      <c r="BQ2779" t="s">
        <v>1558</v>
      </c>
      <c r="BR2779" t="s">
        <v>97</v>
      </c>
      <c r="BS2779" s="3">
        <v>45954</v>
      </c>
      <c r="BT2779" s="4">
        <v>0.43680555555555556</v>
      </c>
      <c r="BU2779" t="s">
        <v>3176</v>
      </c>
      <c r="BV2779" t="s">
        <v>86</v>
      </c>
      <c r="BY2779">
        <v>15120</v>
      </c>
      <c r="CA2779" t="s">
        <v>1114</v>
      </c>
      <c r="CC2779" t="s">
        <v>122</v>
      </c>
      <c r="CD2779">
        <v>4001</v>
      </c>
      <c r="CE2779" t="s">
        <v>107</v>
      </c>
      <c r="CF2779" s="3">
        <v>45954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"080068699849"</f>
        <v>080068699849</v>
      </c>
      <c r="F2780" s="3">
        <v>45953</v>
      </c>
      <c r="G2780">
        <v>202607</v>
      </c>
      <c r="H2780" t="s">
        <v>79</v>
      </c>
      <c r="I2780" t="s">
        <v>80</v>
      </c>
      <c r="J2780" t="s">
        <v>91</v>
      </c>
      <c r="K2780" t="s">
        <v>78</v>
      </c>
      <c r="L2780" t="s">
        <v>121</v>
      </c>
      <c r="M2780" t="s">
        <v>122</v>
      </c>
      <c r="N2780" t="s">
        <v>154</v>
      </c>
      <c r="O2780" t="s">
        <v>82</v>
      </c>
      <c r="P2780" t="str">
        <f>"4170065773                    "</f>
        <v xml:space="preserve">4170065773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22.36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70.959999999999994</v>
      </c>
      <c r="BM2780">
        <v>10.64</v>
      </c>
      <c r="BN2780">
        <v>81.599999999999994</v>
      </c>
      <c r="BO2780">
        <v>81.599999999999994</v>
      </c>
      <c r="BQ2780" t="s">
        <v>155</v>
      </c>
      <c r="BR2780" t="s">
        <v>97</v>
      </c>
      <c r="BS2780" s="3">
        <v>45954</v>
      </c>
      <c r="BT2780" s="4">
        <v>0.40277777777777779</v>
      </c>
      <c r="BU2780" t="s">
        <v>1271</v>
      </c>
      <c r="BV2780" t="s">
        <v>86</v>
      </c>
      <c r="BY2780">
        <v>1200</v>
      </c>
      <c r="CA2780" t="s">
        <v>157</v>
      </c>
      <c r="CC2780" t="s">
        <v>122</v>
      </c>
      <c r="CD2780">
        <v>4052</v>
      </c>
      <c r="CE2780" t="s">
        <v>147</v>
      </c>
      <c r="CF2780" s="3">
        <v>45954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"080068699871"</f>
        <v>080068699871</v>
      </c>
      <c r="F2781" s="3">
        <v>45953</v>
      </c>
      <c r="G2781">
        <v>202607</v>
      </c>
      <c r="H2781" t="s">
        <v>79</v>
      </c>
      <c r="I2781" t="s">
        <v>80</v>
      </c>
      <c r="J2781" t="s">
        <v>91</v>
      </c>
      <c r="K2781" t="s">
        <v>78</v>
      </c>
      <c r="L2781" t="s">
        <v>121</v>
      </c>
      <c r="M2781" t="s">
        <v>122</v>
      </c>
      <c r="N2781" t="s">
        <v>154</v>
      </c>
      <c r="O2781" t="s">
        <v>82</v>
      </c>
      <c r="P2781" t="str">
        <f>"4170065765                    "</f>
        <v xml:space="preserve">4170065765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22.36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70.959999999999994</v>
      </c>
      <c r="BM2781">
        <v>10.64</v>
      </c>
      <c r="BN2781">
        <v>81.599999999999994</v>
      </c>
      <c r="BO2781">
        <v>81.599999999999994</v>
      </c>
      <c r="BQ2781" t="s">
        <v>155</v>
      </c>
      <c r="BR2781" t="s">
        <v>97</v>
      </c>
      <c r="BS2781" s="3">
        <v>45954</v>
      </c>
      <c r="BT2781" s="4">
        <v>0.40277777777777779</v>
      </c>
      <c r="BU2781" t="s">
        <v>2790</v>
      </c>
      <c r="BV2781" t="s">
        <v>86</v>
      </c>
      <c r="BY2781">
        <v>1200</v>
      </c>
      <c r="CA2781" t="s">
        <v>157</v>
      </c>
      <c r="CC2781" t="s">
        <v>122</v>
      </c>
      <c r="CD2781">
        <v>4052</v>
      </c>
      <c r="CE2781" t="s">
        <v>147</v>
      </c>
      <c r="CF2781" s="3">
        <v>45954</v>
      </c>
      <c r="CI2781">
        <v>1</v>
      </c>
      <c r="CJ2781">
        <v>1</v>
      </c>
      <c r="CK2781">
        <v>21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"080068699887"</f>
        <v>080068699887</v>
      </c>
      <c r="F2782" s="3">
        <v>45953</v>
      </c>
      <c r="G2782">
        <v>202607</v>
      </c>
      <c r="H2782" t="s">
        <v>79</v>
      </c>
      <c r="I2782" t="s">
        <v>80</v>
      </c>
      <c r="J2782" t="s">
        <v>91</v>
      </c>
      <c r="K2782" t="s">
        <v>78</v>
      </c>
      <c r="L2782" t="s">
        <v>985</v>
      </c>
      <c r="M2782" t="s">
        <v>986</v>
      </c>
      <c r="N2782" t="s">
        <v>987</v>
      </c>
      <c r="O2782" t="s">
        <v>82</v>
      </c>
      <c r="P2782" t="str">
        <f>"4170065807                    "</f>
        <v xml:space="preserve">4170065807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22.36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70.959999999999994</v>
      </c>
      <c r="BM2782">
        <v>10.64</v>
      </c>
      <c r="BN2782">
        <v>81.599999999999994</v>
      </c>
      <c r="BO2782">
        <v>81.599999999999994</v>
      </c>
      <c r="BQ2782" t="s">
        <v>988</v>
      </c>
      <c r="BR2782" t="s">
        <v>97</v>
      </c>
      <c r="BS2782" s="3">
        <v>45954</v>
      </c>
      <c r="BT2782" s="4">
        <v>0.41666666666666669</v>
      </c>
      <c r="BU2782" t="s">
        <v>3167</v>
      </c>
      <c r="BV2782" t="s">
        <v>86</v>
      </c>
      <c r="BY2782">
        <v>1200</v>
      </c>
      <c r="CC2782" t="s">
        <v>986</v>
      </c>
      <c r="CD2782">
        <v>7600</v>
      </c>
      <c r="CE2782" t="s">
        <v>147</v>
      </c>
      <c r="CF2782" s="3">
        <v>45957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"080068699909"</f>
        <v>080068699909</v>
      </c>
      <c r="F2783" s="3">
        <v>45953</v>
      </c>
      <c r="G2783">
        <v>202607</v>
      </c>
      <c r="H2783" t="s">
        <v>79</v>
      </c>
      <c r="I2783" t="s">
        <v>80</v>
      </c>
      <c r="J2783" t="s">
        <v>91</v>
      </c>
      <c r="K2783" t="s">
        <v>78</v>
      </c>
      <c r="L2783" t="s">
        <v>148</v>
      </c>
      <c r="M2783" t="s">
        <v>149</v>
      </c>
      <c r="N2783" t="s">
        <v>465</v>
      </c>
      <c r="O2783" t="s">
        <v>82</v>
      </c>
      <c r="P2783" t="str">
        <f>"4170065725                    "</f>
        <v xml:space="preserve">4170065725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17.46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55.42</v>
      </c>
      <c r="BM2783">
        <v>8.31</v>
      </c>
      <c r="BN2783">
        <v>63.73</v>
      </c>
      <c r="BO2783">
        <v>63.73</v>
      </c>
      <c r="BQ2783" t="s">
        <v>466</v>
      </c>
      <c r="BR2783" t="s">
        <v>97</v>
      </c>
      <c r="BS2783" s="3">
        <v>45954</v>
      </c>
      <c r="BT2783" s="4">
        <v>0.37152777777777779</v>
      </c>
      <c r="BU2783" t="s">
        <v>1658</v>
      </c>
      <c r="BV2783" t="s">
        <v>86</v>
      </c>
      <c r="BY2783">
        <v>1200</v>
      </c>
      <c r="CA2783" t="s">
        <v>2853</v>
      </c>
      <c r="CC2783" t="s">
        <v>149</v>
      </c>
      <c r="CD2783">
        <v>2094</v>
      </c>
      <c r="CE2783" t="s">
        <v>147</v>
      </c>
      <c r="CF2783" s="3">
        <v>45954</v>
      </c>
      <c r="CI2783">
        <v>1</v>
      </c>
      <c r="CJ2783">
        <v>1</v>
      </c>
      <c r="CK2783">
        <v>22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"080068699931"</f>
        <v>080068699931</v>
      </c>
      <c r="F2784" s="3">
        <v>45953</v>
      </c>
      <c r="G2784">
        <v>202607</v>
      </c>
      <c r="H2784" t="s">
        <v>79</v>
      </c>
      <c r="I2784" t="s">
        <v>80</v>
      </c>
      <c r="J2784" t="s">
        <v>91</v>
      </c>
      <c r="K2784" t="s">
        <v>78</v>
      </c>
      <c r="L2784" t="s">
        <v>223</v>
      </c>
      <c r="M2784" t="s">
        <v>224</v>
      </c>
      <c r="N2784" t="s">
        <v>505</v>
      </c>
      <c r="O2784" t="s">
        <v>82</v>
      </c>
      <c r="P2784" t="str">
        <f>"4170065710                    "</f>
        <v xml:space="preserve">4170065710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17.46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55.42</v>
      </c>
      <c r="BM2784">
        <v>8.31</v>
      </c>
      <c r="BN2784">
        <v>63.73</v>
      </c>
      <c r="BO2784">
        <v>63.73</v>
      </c>
      <c r="BQ2784" t="s">
        <v>506</v>
      </c>
      <c r="BR2784" t="s">
        <v>97</v>
      </c>
      <c r="BS2784" s="3">
        <v>45954</v>
      </c>
      <c r="BT2784" s="4">
        <v>0.38194444444444442</v>
      </c>
      <c r="BU2784" t="s">
        <v>507</v>
      </c>
      <c r="BV2784" t="s">
        <v>86</v>
      </c>
      <c r="BY2784">
        <v>1200</v>
      </c>
      <c r="CA2784" t="s">
        <v>508</v>
      </c>
      <c r="CC2784" t="s">
        <v>224</v>
      </c>
      <c r="CD2784">
        <v>1459</v>
      </c>
      <c r="CE2784" t="s">
        <v>147</v>
      </c>
      <c r="CF2784" s="3">
        <v>45954</v>
      </c>
      <c r="CI2784">
        <v>1</v>
      </c>
      <c r="CJ2784">
        <v>1</v>
      </c>
      <c r="CK2784">
        <v>22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"080068699960"</f>
        <v>080068699960</v>
      </c>
      <c r="F2785" s="3">
        <v>45953</v>
      </c>
      <c r="G2785">
        <v>202607</v>
      </c>
      <c r="H2785" t="s">
        <v>79</v>
      </c>
      <c r="I2785" t="s">
        <v>80</v>
      </c>
      <c r="J2785" t="s">
        <v>91</v>
      </c>
      <c r="K2785" t="s">
        <v>78</v>
      </c>
      <c r="L2785" t="s">
        <v>121</v>
      </c>
      <c r="M2785" t="s">
        <v>122</v>
      </c>
      <c r="N2785" t="s">
        <v>159</v>
      </c>
      <c r="O2785" t="s">
        <v>82</v>
      </c>
      <c r="P2785" t="str">
        <f>"4170065648                    "</f>
        <v xml:space="preserve">4170065648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22.36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70.959999999999994</v>
      </c>
      <c r="BM2785">
        <v>10.64</v>
      </c>
      <c r="BN2785">
        <v>81.599999999999994</v>
      </c>
      <c r="BO2785">
        <v>81.599999999999994</v>
      </c>
      <c r="BQ2785" t="s">
        <v>160</v>
      </c>
      <c r="BR2785" t="s">
        <v>97</v>
      </c>
      <c r="BS2785" s="3">
        <v>45954</v>
      </c>
      <c r="BT2785" s="4">
        <v>0.41180555555555554</v>
      </c>
      <c r="BU2785" t="s">
        <v>1830</v>
      </c>
      <c r="BV2785" t="s">
        <v>86</v>
      </c>
      <c r="BY2785">
        <v>1200</v>
      </c>
      <c r="CA2785" t="s">
        <v>742</v>
      </c>
      <c r="CC2785" t="s">
        <v>122</v>
      </c>
      <c r="CD2785">
        <v>4000</v>
      </c>
      <c r="CE2785" t="s">
        <v>147</v>
      </c>
      <c r="CF2785" s="3">
        <v>45954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"080068700236"</f>
        <v>080068700236</v>
      </c>
      <c r="F2786" s="3">
        <v>45953</v>
      </c>
      <c r="G2786">
        <v>202607</v>
      </c>
      <c r="H2786" t="s">
        <v>79</v>
      </c>
      <c r="I2786" t="s">
        <v>80</v>
      </c>
      <c r="J2786" t="s">
        <v>91</v>
      </c>
      <c r="K2786" t="s">
        <v>78</v>
      </c>
      <c r="L2786" t="s">
        <v>114</v>
      </c>
      <c r="M2786" t="s">
        <v>115</v>
      </c>
      <c r="N2786" t="s">
        <v>746</v>
      </c>
      <c r="O2786" t="s">
        <v>82</v>
      </c>
      <c r="P2786" t="str">
        <f>"4170065818                    "</f>
        <v xml:space="preserve">4170065818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22.36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70.959999999999994</v>
      </c>
      <c r="BM2786">
        <v>10.64</v>
      </c>
      <c r="BN2786">
        <v>81.599999999999994</v>
      </c>
      <c r="BO2786">
        <v>81.599999999999994</v>
      </c>
      <c r="BQ2786" t="s">
        <v>747</v>
      </c>
      <c r="BR2786" t="s">
        <v>97</v>
      </c>
      <c r="BS2786" s="3">
        <v>45954</v>
      </c>
      <c r="BT2786" s="4">
        <v>0.52083333333333337</v>
      </c>
      <c r="BU2786" t="s">
        <v>2770</v>
      </c>
      <c r="BV2786" t="s">
        <v>90</v>
      </c>
      <c r="BY2786">
        <v>1200</v>
      </c>
      <c r="CA2786" t="s">
        <v>749</v>
      </c>
      <c r="CC2786" t="s">
        <v>115</v>
      </c>
      <c r="CD2786">
        <v>5201</v>
      </c>
      <c r="CE2786" t="s">
        <v>147</v>
      </c>
      <c r="CF2786" s="3">
        <v>45956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"080068700257"</f>
        <v>080068700257</v>
      </c>
      <c r="F2787" s="3">
        <v>45953</v>
      </c>
      <c r="G2787">
        <v>202607</v>
      </c>
      <c r="H2787" t="s">
        <v>79</v>
      </c>
      <c r="I2787" t="s">
        <v>80</v>
      </c>
      <c r="J2787" t="s">
        <v>91</v>
      </c>
      <c r="K2787" t="s">
        <v>78</v>
      </c>
      <c r="L2787" t="s">
        <v>180</v>
      </c>
      <c r="M2787" t="s">
        <v>181</v>
      </c>
      <c r="N2787" t="s">
        <v>182</v>
      </c>
      <c r="O2787" t="s">
        <v>82</v>
      </c>
      <c r="P2787" t="str">
        <f>"4170065827                    "</f>
        <v xml:space="preserve">4170065827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43.31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137.47</v>
      </c>
      <c r="BM2787">
        <v>20.62</v>
      </c>
      <c r="BN2787">
        <v>158.09</v>
      </c>
      <c r="BO2787">
        <v>158.09</v>
      </c>
      <c r="BQ2787" t="s">
        <v>183</v>
      </c>
      <c r="BR2787" t="s">
        <v>97</v>
      </c>
      <c r="BS2787" s="3">
        <v>45954</v>
      </c>
      <c r="BT2787" s="4">
        <v>0.49305555555555558</v>
      </c>
      <c r="BU2787" t="s">
        <v>2249</v>
      </c>
      <c r="BV2787" t="s">
        <v>86</v>
      </c>
      <c r="BY2787">
        <v>1200</v>
      </c>
      <c r="CA2787">
        <v>8410105735081</v>
      </c>
      <c r="CC2787" t="s">
        <v>181</v>
      </c>
      <c r="CD2787">
        <v>1028</v>
      </c>
      <c r="CE2787" t="s">
        <v>147</v>
      </c>
      <c r="CF2787" s="3">
        <v>45954</v>
      </c>
      <c r="CI2787">
        <v>1</v>
      </c>
      <c r="CJ2787">
        <v>1</v>
      </c>
      <c r="CK2787">
        <v>23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"080068700283"</f>
        <v>080068700283</v>
      </c>
      <c r="F2788" s="3">
        <v>45953</v>
      </c>
      <c r="G2788">
        <v>202607</v>
      </c>
      <c r="H2788" t="s">
        <v>79</v>
      </c>
      <c r="I2788" t="s">
        <v>80</v>
      </c>
      <c r="J2788" t="s">
        <v>91</v>
      </c>
      <c r="K2788" t="s">
        <v>78</v>
      </c>
      <c r="L2788" t="s">
        <v>148</v>
      </c>
      <c r="M2788" t="s">
        <v>149</v>
      </c>
      <c r="N2788" t="s">
        <v>911</v>
      </c>
      <c r="O2788" t="s">
        <v>82</v>
      </c>
      <c r="P2788" t="str">
        <f>"4170065760                    "</f>
        <v xml:space="preserve">4170065760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22.36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16.739999999999998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87.7</v>
      </c>
      <c r="BM2788">
        <v>13.16</v>
      </c>
      <c r="BN2788">
        <v>100.86</v>
      </c>
      <c r="BO2788">
        <v>100.86</v>
      </c>
      <c r="BQ2788" t="s">
        <v>912</v>
      </c>
      <c r="BR2788" t="s">
        <v>97</v>
      </c>
      <c r="BS2788" s="3">
        <v>45954</v>
      </c>
      <c r="BT2788" s="4">
        <v>0.45694444444444443</v>
      </c>
      <c r="BU2788" t="s">
        <v>3220</v>
      </c>
      <c r="BV2788" t="s">
        <v>86</v>
      </c>
      <c r="BY2788">
        <v>1200</v>
      </c>
      <c r="BZ2788" t="s">
        <v>30</v>
      </c>
      <c r="CA2788" t="s">
        <v>3221</v>
      </c>
      <c r="CC2788" t="s">
        <v>149</v>
      </c>
      <c r="CD2788">
        <v>1832</v>
      </c>
      <c r="CE2788" t="s">
        <v>147</v>
      </c>
      <c r="CF2788" s="3">
        <v>45957</v>
      </c>
      <c r="CI2788">
        <v>0</v>
      </c>
      <c r="CJ2788">
        <v>0</v>
      </c>
      <c r="CK2788">
        <v>21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"080068700316"</f>
        <v>080068700316</v>
      </c>
      <c r="F2789" s="3">
        <v>45953</v>
      </c>
      <c r="G2789">
        <v>202607</v>
      </c>
      <c r="H2789" t="s">
        <v>79</v>
      </c>
      <c r="I2789" t="s">
        <v>80</v>
      </c>
      <c r="J2789" t="s">
        <v>91</v>
      </c>
      <c r="K2789" t="s">
        <v>78</v>
      </c>
      <c r="L2789" t="s">
        <v>223</v>
      </c>
      <c r="M2789" t="s">
        <v>224</v>
      </c>
      <c r="N2789" t="s">
        <v>225</v>
      </c>
      <c r="O2789" t="s">
        <v>82</v>
      </c>
      <c r="P2789" t="str">
        <f>"4170065696                    "</f>
        <v xml:space="preserve">4170065696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17.46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55.42</v>
      </c>
      <c r="BM2789">
        <v>8.31</v>
      </c>
      <c r="BN2789">
        <v>63.73</v>
      </c>
      <c r="BO2789">
        <v>63.73</v>
      </c>
      <c r="BQ2789" t="s">
        <v>227</v>
      </c>
      <c r="BR2789" t="s">
        <v>97</v>
      </c>
      <c r="BS2789" s="3">
        <v>45954</v>
      </c>
      <c r="BT2789" s="4">
        <v>0.32777777777777778</v>
      </c>
      <c r="BU2789" t="s">
        <v>3199</v>
      </c>
      <c r="BV2789" t="s">
        <v>86</v>
      </c>
      <c r="BY2789">
        <v>1200</v>
      </c>
      <c r="CA2789" t="s">
        <v>508</v>
      </c>
      <c r="CC2789" t="s">
        <v>224</v>
      </c>
      <c r="CD2789">
        <v>1459</v>
      </c>
      <c r="CE2789" t="s">
        <v>147</v>
      </c>
      <c r="CF2789" s="3">
        <v>45954</v>
      </c>
      <c r="CI2789">
        <v>1</v>
      </c>
      <c r="CJ2789">
        <v>1</v>
      </c>
      <c r="CK2789">
        <v>22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"080068700339"</f>
        <v>080068700339</v>
      </c>
      <c r="F2790" s="3">
        <v>45953</v>
      </c>
      <c r="G2790">
        <v>202607</v>
      </c>
      <c r="H2790" t="s">
        <v>79</v>
      </c>
      <c r="I2790" t="s">
        <v>80</v>
      </c>
      <c r="J2790" t="s">
        <v>91</v>
      </c>
      <c r="K2790" t="s">
        <v>78</v>
      </c>
      <c r="L2790" t="s">
        <v>763</v>
      </c>
      <c r="M2790" t="s">
        <v>764</v>
      </c>
      <c r="N2790" t="s">
        <v>765</v>
      </c>
      <c r="O2790" t="s">
        <v>82</v>
      </c>
      <c r="P2790" t="str">
        <f>"4170065731                    "</f>
        <v xml:space="preserve">4170065731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43.31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137.47</v>
      </c>
      <c r="BM2790">
        <v>20.62</v>
      </c>
      <c r="BN2790">
        <v>158.09</v>
      </c>
      <c r="BO2790">
        <v>158.09</v>
      </c>
      <c r="BQ2790" t="s">
        <v>766</v>
      </c>
      <c r="BR2790" t="s">
        <v>97</v>
      </c>
      <c r="BS2790" s="3">
        <v>45954</v>
      </c>
      <c r="BT2790" s="4">
        <v>0.46666666666666667</v>
      </c>
      <c r="BU2790" t="s">
        <v>2625</v>
      </c>
      <c r="BV2790" t="s">
        <v>86</v>
      </c>
      <c r="BY2790">
        <v>1200</v>
      </c>
      <c r="CA2790" t="s">
        <v>768</v>
      </c>
      <c r="CC2790" t="s">
        <v>764</v>
      </c>
      <c r="CD2790">
        <v>2531</v>
      </c>
      <c r="CE2790" t="s">
        <v>147</v>
      </c>
      <c r="CF2790" s="3">
        <v>45957</v>
      </c>
      <c r="CI2790">
        <v>1</v>
      </c>
      <c r="CJ2790">
        <v>1</v>
      </c>
      <c r="CK2790">
        <v>23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"080068700370"</f>
        <v>080068700370</v>
      </c>
      <c r="F2791" s="3">
        <v>45953</v>
      </c>
      <c r="G2791">
        <v>202607</v>
      </c>
      <c r="H2791" t="s">
        <v>79</v>
      </c>
      <c r="I2791" t="s">
        <v>80</v>
      </c>
      <c r="J2791" t="s">
        <v>91</v>
      </c>
      <c r="K2791" t="s">
        <v>78</v>
      </c>
      <c r="L2791" t="s">
        <v>265</v>
      </c>
      <c r="M2791" t="s">
        <v>266</v>
      </c>
      <c r="N2791" t="s">
        <v>1033</v>
      </c>
      <c r="O2791" t="s">
        <v>82</v>
      </c>
      <c r="P2791" t="str">
        <f>"4170065832                    "</f>
        <v xml:space="preserve">4170065832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22.36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70.959999999999994</v>
      </c>
      <c r="BM2791">
        <v>10.64</v>
      </c>
      <c r="BN2791">
        <v>81.599999999999994</v>
      </c>
      <c r="BO2791">
        <v>81.599999999999994</v>
      </c>
      <c r="BQ2791" t="s">
        <v>1034</v>
      </c>
      <c r="BR2791" t="s">
        <v>97</v>
      </c>
      <c r="BS2791" s="3">
        <v>45954</v>
      </c>
      <c r="BT2791" s="4">
        <v>0.3347222222222222</v>
      </c>
      <c r="BU2791" t="s">
        <v>1629</v>
      </c>
      <c r="BV2791" t="s">
        <v>86</v>
      </c>
      <c r="BY2791">
        <v>1200</v>
      </c>
      <c r="CA2791" t="s">
        <v>818</v>
      </c>
      <c r="CC2791" t="s">
        <v>266</v>
      </c>
      <c r="CD2791">
        <v>6230</v>
      </c>
      <c r="CE2791" t="s">
        <v>147</v>
      </c>
      <c r="CF2791" s="3">
        <v>45954</v>
      </c>
      <c r="CI2791">
        <v>1</v>
      </c>
      <c r="CJ2791">
        <v>1</v>
      </c>
      <c r="CK2791">
        <v>21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"080068700391"</f>
        <v>080068700391</v>
      </c>
      <c r="F2792" s="3">
        <v>45953</v>
      </c>
      <c r="G2792">
        <v>202607</v>
      </c>
      <c r="H2792" t="s">
        <v>79</v>
      </c>
      <c r="I2792" t="s">
        <v>80</v>
      </c>
      <c r="J2792" t="s">
        <v>91</v>
      </c>
      <c r="K2792" t="s">
        <v>78</v>
      </c>
      <c r="L2792" t="s">
        <v>710</v>
      </c>
      <c r="M2792" t="s">
        <v>711</v>
      </c>
      <c r="N2792" t="s">
        <v>3222</v>
      </c>
      <c r="O2792" t="s">
        <v>82</v>
      </c>
      <c r="P2792" t="str">
        <f>"4170065718                    "</f>
        <v xml:space="preserve">4170065718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22.36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70.959999999999994</v>
      </c>
      <c r="BM2792">
        <v>10.64</v>
      </c>
      <c r="BN2792">
        <v>81.599999999999994</v>
      </c>
      <c r="BO2792">
        <v>81.599999999999994</v>
      </c>
      <c r="BQ2792" t="s">
        <v>3223</v>
      </c>
      <c r="BR2792" t="s">
        <v>97</v>
      </c>
      <c r="BS2792" s="3">
        <v>45954</v>
      </c>
      <c r="BT2792" s="4">
        <v>0.4201388888888889</v>
      </c>
      <c r="BU2792" t="s">
        <v>1250</v>
      </c>
      <c r="BV2792" t="s">
        <v>86</v>
      </c>
      <c r="BY2792">
        <v>1200</v>
      </c>
      <c r="CA2792" t="s">
        <v>859</v>
      </c>
      <c r="CC2792" t="s">
        <v>711</v>
      </c>
      <c r="CD2792">
        <v>4126</v>
      </c>
      <c r="CE2792" t="s">
        <v>147</v>
      </c>
      <c r="CF2792" s="3">
        <v>45954</v>
      </c>
      <c r="CI2792">
        <v>1</v>
      </c>
      <c r="CJ2792">
        <v>1</v>
      </c>
      <c r="CK2792">
        <v>21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"080068700419"</f>
        <v>080068700419</v>
      </c>
      <c r="F2793" s="3">
        <v>45953</v>
      </c>
      <c r="G2793">
        <v>202607</v>
      </c>
      <c r="H2793" t="s">
        <v>79</v>
      </c>
      <c r="I2793" t="s">
        <v>80</v>
      </c>
      <c r="J2793" t="s">
        <v>91</v>
      </c>
      <c r="K2793" t="s">
        <v>78</v>
      </c>
      <c r="L2793" t="s">
        <v>1255</v>
      </c>
      <c r="M2793" t="s">
        <v>1256</v>
      </c>
      <c r="N2793" t="s">
        <v>1257</v>
      </c>
      <c r="O2793" t="s">
        <v>82</v>
      </c>
      <c r="P2793" t="str">
        <f>"4170065825                    "</f>
        <v xml:space="preserve">4170065825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43.31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0.2</v>
      </c>
      <c r="BJ2793">
        <v>0.9</v>
      </c>
      <c r="BK2793">
        <v>1</v>
      </c>
      <c r="BL2793">
        <v>137.47</v>
      </c>
      <c r="BM2793">
        <v>20.62</v>
      </c>
      <c r="BN2793">
        <v>158.09</v>
      </c>
      <c r="BO2793">
        <v>158.09</v>
      </c>
      <c r="BQ2793" t="s">
        <v>1258</v>
      </c>
      <c r="BR2793" t="s">
        <v>97</v>
      </c>
      <c r="BS2793" s="3">
        <v>45954</v>
      </c>
      <c r="BT2793" s="4">
        <v>0.53472222222222221</v>
      </c>
      <c r="BU2793" t="s">
        <v>1259</v>
      </c>
      <c r="BV2793" t="s">
        <v>86</v>
      </c>
      <c r="BY2793">
        <v>4433.6000000000004</v>
      </c>
      <c r="CA2793" t="s">
        <v>1260</v>
      </c>
      <c r="CC2793" t="s">
        <v>1256</v>
      </c>
      <c r="CD2793">
        <v>2309</v>
      </c>
      <c r="CE2793" t="s">
        <v>147</v>
      </c>
      <c r="CF2793" s="3">
        <v>45957</v>
      </c>
      <c r="CI2793">
        <v>1</v>
      </c>
      <c r="CJ2793">
        <v>1</v>
      </c>
      <c r="CK2793">
        <v>23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"080068700453"</f>
        <v>080068700453</v>
      </c>
      <c r="F2794" s="3">
        <v>45953</v>
      </c>
      <c r="G2794">
        <v>202607</v>
      </c>
      <c r="H2794" t="s">
        <v>79</v>
      </c>
      <c r="I2794" t="s">
        <v>80</v>
      </c>
      <c r="J2794" t="s">
        <v>91</v>
      </c>
      <c r="K2794" t="s">
        <v>78</v>
      </c>
      <c r="L2794" t="s">
        <v>108</v>
      </c>
      <c r="M2794" t="s">
        <v>109</v>
      </c>
      <c r="N2794" t="s">
        <v>938</v>
      </c>
      <c r="O2794" t="s">
        <v>82</v>
      </c>
      <c r="P2794" t="str">
        <f>"4170065839                    "</f>
        <v xml:space="preserve">4170065839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22.36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70.959999999999994</v>
      </c>
      <c r="BM2794">
        <v>10.64</v>
      </c>
      <c r="BN2794">
        <v>81.599999999999994</v>
      </c>
      <c r="BO2794">
        <v>81.599999999999994</v>
      </c>
      <c r="BQ2794" t="s">
        <v>939</v>
      </c>
      <c r="BR2794" t="s">
        <v>97</v>
      </c>
      <c r="BS2794" s="3">
        <v>45954</v>
      </c>
      <c r="BT2794" s="4">
        <v>0.42777777777777776</v>
      </c>
      <c r="BU2794" t="s">
        <v>1936</v>
      </c>
      <c r="BV2794" t="s">
        <v>86</v>
      </c>
      <c r="BY2794">
        <v>1200</v>
      </c>
      <c r="CA2794" t="s">
        <v>1145</v>
      </c>
      <c r="CC2794" t="s">
        <v>109</v>
      </c>
      <c r="CD2794">
        <v>6056</v>
      </c>
      <c r="CE2794" t="s">
        <v>147</v>
      </c>
      <c r="CF2794" s="3">
        <v>45954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"080068700508"</f>
        <v>080068700508</v>
      </c>
      <c r="F2795" s="3">
        <v>45953</v>
      </c>
      <c r="G2795">
        <v>202607</v>
      </c>
      <c r="H2795" t="s">
        <v>79</v>
      </c>
      <c r="I2795" t="s">
        <v>80</v>
      </c>
      <c r="J2795" t="s">
        <v>91</v>
      </c>
      <c r="K2795" t="s">
        <v>78</v>
      </c>
      <c r="L2795" t="s">
        <v>306</v>
      </c>
      <c r="M2795" t="s">
        <v>307</v>
      </c>
      <c r="N2795" t="s">
        <v>308</v>
      </c>
      <c r="O2795" t="s">
        <v>82</v>
      </c>
      <c r="P2795" t="str">
        <f>"4170065831                    "</f>
        <v xml:space="preserve">4170065831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27.94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2.1</v>
      </c>
      <c r="BK2795">
        <v>2.5</v>
      </c>
      <c r="BL2795">
        <v>88.68</v>
      </c>
      <c r="BM2795">
        <v>13.3</v>
      </c>
      <c r="BN2795">
        <v>101.98</v>
      </c>
      <c r="BO2795">
        <v>101.98</v>
      </c>
      <c r="BQ2795" t="s">
        <v>309</v>
      </c>
      <c r="BR2795" t="s">
        <v>97</v>
      </c>
      <c r="BS2795" s="3">
        <v>45954</v>
      </c>
      <c r="BT2795" s="4">
        <v>0.70208333333333328</v>
      </c>
      <c r="BU2795" t="s">
        <v>1584</v>
      </c>
      <c r="BV2795" t="s">
        <v>90</v>
      </c>
      <c r="BW2795" t="s">
        <v>771</v>
      </c>
      <c r="BX2795" t="s">
        <v>1222</v>
      </c>
      <c r="BY2795">
        <v>10309</v>
      </c>
      <c r="CA2795" t="s">
        <v>157</v>
      </c>
      <c r="CC2795" t="s">
        <v>307</v>
      </c>
      <c r="CD2795">
        <v>4113</v>
      </c>
      <c r="CE2795" t="s">
        <v>107</v>
      </c>
      <c r="CF2795" s="3">
        <v>45954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"080068700561"</f>
        <v>080068700561</v>
      </c>
      <c r="F2796" s="3">
        <v>45953</v>
      </c>
      <c r="G2796">
        <v>202607</v>
      </c>
      <c r="H2796" t="s">
        <v>79</v>
      </c>
      <c r="I2796" t="s">
        <v>80</v>
      </c>
      <c r="J2796" t="s">
        <v>91</v>
      </c>
      <c r="K2796" t="s">
        <v>78</v>
      </c>
      <c r="L2796" t="s">
        <v>322</v>
      </c>
      <c r="M2796" t="s">
        <v>322</v>
      </c>
      <c r="N2796" t="s">
        <v>483</v>
      </c>
      <c r="O2796" t="s">
        <v>82</v>
      </c>
      <c r="P2796" t="str">
        <f>"4170065679                    "</f>
        <v xml:space="preserve">4170065679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160.66999999999999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7</v>
      </c>
      <c r="BJ2796">
        <v>7.8</v>
      </c>
      <c r="BK2796">
        <v>8</v>
      </c>
      <c r="BL2796">
        <v>509.95</v>
      </c>
      <c r="BM2796">
        <v>76.489999999999995</v>
      </c>
      <c r="BN2796">
        <v>586.44000000000005</v>
      </c>
      <c r="BO2796">
        <v>586.44000000000005</v>
      </c>
      <c r="BQ2796" t="s">
        <v>486</v>
      </c>
      <c r="BR2796" t="s">
        <v>97</v>
      </c>
      <c r="BS2796" s="3">
        <v>45954</v>
      </c>
      <c r="BT2796" s="4">
        <v>0.50069444444444444</v>
      </c>
      <c r="BU2796" t="s">
        <v>485</v>
      </c>
      <c r="BV2796" t="s">
        <v>86</v>
      </c>
      <c r="BY2796">
        <v>38988</v>
      </c>
      <c r="CA2796" t="s">
        <v>326</v>
      </c>
      <c r="CC2796" t="s">
        <v>322</v>
      </c>
      <c r="CD2796">
        <v>7646</v>
      </c>
      <c r="CE2796" t="s">
        <v>107</v>
      </c>
      <c r="CF2796" s="3">
        <v>45957</v>
      </c>
      <c r="CI2796">
        <v>1</v>
      </c>
      <c r="CJ2796">
        <v>1</v>
      </c>
      <c r="CK2796">
        <v>23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"080068700577"</f>
        <v>080068700577</v>
      </c>
      <c r="F2797" s="3">
        <v>45953</v>
      </c>
      <c r="G2797">
        <v>202607</v>
      </c>
      <c r="H2797" t="s">
        <v>79</v>
      </c>
      <c r="I2797" t="s">
        <v>80</v>
      </c>
      <c r="J2797" t="s">
        <v>91</v>
      </c>
      <c r="K2797" t="s">
        <v>78</v>
      </c>
      <c r="L2797" t="s">
        <v>108</v>
      </c>
      <c r="M2797" t="s">
        <v>109</v>
      </c>
      <c r="N2797" t="s">
        <v>1203</v>
      </c>
      <c r="O2797" t="s">
        <v>82</v>
      </c>
      <c r="P2797" t="str">
        <f>"4170065815                    "</f>
        <v xml:space="preserve">4170065815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22.36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70.959999999999994</v>
      </c>
      <c r="BM2797">
        <v>10.64</v>
      </c>
      <c r="BN2797">
        <v>81.599999999999994</v>
      </c>
      <c r="BO2797">
        <v>81.599999999999994</v>
      </c>
      <c r="BQ2797" t="s">
        <v>1204</v>
      </c>
      <c r="BR2797" t="s">
        <v>97</v>
      </c>
      <c r="BS2797" s="3">
        <v>45954</v>
      </c>
      <c r="BT2797" s="4">
        <v>0.39305555555555555</v>
      </c>
      <c r="BU2797" t="s">
        <v>3224</v>
      </c>
      <c r="BV2797" t="s">
        <v>86</v>
      </c>
      <c r="BY2797">
        <v>1200</v>
      </c>
      <c r="CA2797" t="s">
        <v>1090</v>
      </c>
      <c r="CC2797" t="s">
        <v>109</v>
      </c>
      <c r="CD2797">
        <v>6012</v>
      </c>
      <c r="CE2797" t="s">
        <v>147</v>
      </c>
      <c r="CF2797" s="3">
        <v>45954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"080068700592"</f>
        <v>080068700592</v>
      </c>
      <c r="F2798" s="3">
        <v>45953</v>
      </c>
      <c r="G2798">
        <v>202607</v>
      </c>
      <c r="H2798" t="s">
        <v>79</v>
      </c>
      <c r="I2798" t="s">
        <v>80</v>
      </c>
      <c r="J2798" t="s">
        <v>91</v>
      </c>
      <c r="K2798" t="s">
        <v>78</v>
      </c>
      <c r="L2798" t="s">
        <v>75</v>
      </c>
      <c r="M2798" t="s">
        <v>76</v>
      </c>
      <c r="N2798" t="s">
        <v>2177</v>
      </c>
      <c r="O2798" t="s">
        <v>226</v>
      </c>
      <c r="P2798" t="str">
        <f>"4170065646                    "</f>
        <v xml:space="preserve">4170065646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19.43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8</v>
      </c>
      <c r="BJ2798">
        <v>8.9</v>
      </c>
      <c r="BK2798">
        <v>9</v>
      </c>
      <c r="BL2798">
        <v>61.66</v>
      </c>
      <c r="BM2798">
        <v>9.25</v>
      </c>
      <c r="BN2798">
        <v>70.91</v>
      </c>
      <c r="BO2798">
        <v>70.91</v>
      </c>
      <c r="BQ2798" t="s">
        <v>2178</v>
      </c>
      <c r="BR2798" t="s">
        <v>97</v>
      </c>
      <c r="BS2798" s="3">
        <v>45954</v>
      </c>
      <c r="BT2798" s="4">
        <v>0.42708333333333331</v>
      </c>
      <c r="BU2798" t="s">
        <v>3225</v>
      </c>
      <c r="BV2798" t="s">
        <v>86</v>
      </c>
      <c r="BY2798">
        <v>44640</v>
      </c>
      <c r="CA2798" t="s">
        <v>1149</v>
      </c>
      <c r="CC2798" t="s">
        <v>76</v>
      </c>
      <c r="CD2798">
        <v>2163</v>
      </c>
      <c r="CE2798" t="s">
        <v>191</v>
      </c>
      <c r="CF2798" s="3">
        <v>45955</v>
      </c>
      <c r="CI2798">
        <v>1</v>
      </c>
      <c r="CJ2798">
        <v>1</v>
      </c>
      <c r="CK2798">
        <v>32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"080068700619"</f>
        <v>080068700619</v>
      </c>
      <c r="F2799" s="3">
        <v>45953</v>
      </c>
      <c r="G2799">
        <v>202607</v>
      </c>
      <c r="H2799" t="s">
        <v>79</v>
      </c>
      <c r="I2799" t="s">
        <v>80</v>
      </c>
      <c r="J2799" t="s">
        <v>91</v>
      </c>
      <c r="K2799" t="s">
        <v>78</v>
      </c>
      <c r="L2799" t="s">
        <v>121</v>
      </c>
      <c r="M2799" t="s">
        <v>122</v>
      </c>
      <c r="N2799" t="s">
        <v>133</v>
      </c>
      <c r="O2799" t="s">
        <v>82</v>
      </c>
      <c r="P2799" t="str">
        <f>"4170065763                    "</f>
        <v xml:space="preserve">4170065763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22.36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70.959999999999994</v>
      </c>
      <c r="BM2799">
        <v>10.64</v>
      </c>
      <c r="BN2799">
        <v>81.599999999999994</v>
      </c>
      <c r="BO2799">
        <v>81.599999999999994</v>
      </c>
      <c r="BQ2799" t="s">
        <v>134</v>
      </c>
      <c r="BR2799" t="s">
        <v>97</v>
      </c>
      <c r="BS2799" s="3">
        <v>45954</v>
      </c>
      <c r="BT2799" s="4">
        <v>0.4152777777777778</v>
      </c>
      <c r="BU2799" s="5" t="s">
        <v>3226</v>
      </c>
      <c r="BV2799" t="s">
        <v>86</v>
      </c>
      <c r="BY2799">
        <v>1200</v>
      </c>
      <c r="CA2799" t="s">
        <v>742</v>
      </c>
      <c r="CC2799" t="s">
        <v>122</v>
      </c>
      <c r="CD2799">
        <v>4001</v>
      </c>
      <c r="CE2799" t="s">
        <v>147</v>
      </c>
      <c r="CF2799" s="3">
        <v>45954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"080068700638"</f>
        <v>080068700638</v>
      </c>
      <c r="F2800" s="3">
        <v>45953</v>
      </c>
      <c r="G2800">
        <v>202607</v>
      </c>
      <c r="H2800" t="s">
        <v>79</v>
      </c>
      <c r="I2800" t="s">
        <v>80</v>
      </c>
      <c r="J2800" t="s">
        <v>91</v>
      </c>
      <c r="K2800" t="s">
        <v>78</v>
      </c>
      <c r="L2800" t="s">
        <v>206</v>
      </c>
      <c r="M2800" t="s">
        <v>207</v>
      </c>
      <c r="N2800" t="s">
        <v>458</v>
      </c>
      <c r="O2800" t="s">
        <v>82</v>
      </c>
      <c r="P2800" t="str">
        <f>"4170065660                    "</f>
        <v xml:space="preserve">4170065660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22.36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2</v>
      </c>
      <c r="BJ2800">
        <v>1.1000000000000001</v>
      </c>
      <c r="BK2800">
        <v>2</v>
      </c>
      <c r="BL2800">
        <v>70.959999999999994</v>
      </c>
      <c r="BM2800">
        <v>10.64</v>
      </c>
      <c r="BN2800">
        <v>81.599999999999994</v>
      </c>
      <c r="BO2800">
        <v>81.599999999999994</v>
      </c>
      <c r="BQ2800" t="s">
        <v>459</v>
      </c>
      <c r="BR2800" t="s">
        <v>97</v>
      </c>
      <c r="BS2800" s="3">
        <v>45954</v>
      </c>
      <c r="BT2800" s="4">
        <v>0.42638888888888887</v>
      </c>
      <c r="BU2800" t="s">
        <v>1036</v>
      </c>
      <c r="BV2800" t="s">
        <v>86</v>
      </c>
      <c r="BY2800">
        <v>5510</v>
      </c>
      <c r="CA2800" t="s">
        <v>461</v>
      </c>
      <c r="CC2800" t="s">
        <v>207</v>
      </c>
      <c r="CD2800">
        <v>7530</v>
      </c>
      <c r="CE2800" t="s">
        <v>191</v>
      </c>
      <c r="CF2800" s="3">
        <v>45957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"080068700650"</f>
        <v>080068700650</v>
      </c>
      <c r="F2801" s="3">
        <v>45953</v>
      </c>
      <c r="G2801">
        <v>202607</v>
      </c>
      <c r="H2801" t="s">
        <v>79</v>
      </c>
      <c r="I2801" t="s">
        <v>80</v>
      </c>
      <c r="J2801" t="s">
        <v>91</v>
      </c>
      <c r="K2801" t="s">
        <v>78</v>
      </c>
      <c r="L2801" t="s">
        <v>223</v>
      </c>
      <c r="M2801" t="s">
        <v>224</v>
      </c>
      <c r="N2801" t="s">
        <v>2159</v>
      </c>
      <c r="O2801" t="s">
        <v>82</v>
      </c>
      <c r="P2801" t="str">
        <f>"4170065738                    "</f>
        <v xml:space="preserve">4170065738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17.46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55.42</v>
      </c>
      <c r="BM2801">
        <v>8.31</v>
      </c>
      <c r="BN2801">
        <v>63.73</v>
      </c>
      <c r="BO2801">
        <v>63.73</v>
      </c>
      <c r="BQ2801" t="s">
        <v>2160</v>
      </c>
      <c r="BR2801" t="s">
        <v>97</v>
      </c>
      <c r="BS2801" s="3">
        <v>45954</v>
      </c>
      <c r="BT2801" s="4">
        <v>0.38333333333333336</v>
      </c>
      <c r="BU2801" t="s">
        <v>3227</v>
      </c>
      <c r="BV2801" t="s">
        <v>86</v>
      </c>
      <c r="BY2801">
        <v>1200</v>
      </c>
      <c r="CA2801" t="s">
        <v>1110</v>
      </c>
      <c r="CC2801" t="s">
        <v>224</v>
      </c>
      <c r="CD2801">
        <v>1459</v>
      </c>
      <c r="CE2801" t="s">
        <v>147</v>
      </c>
      <c r="CF2801" s="3">
        <v>45955</v>
      </c>
      <c r="CI2801">
        <v>1</v>
      </c>
      <c r="CJ2801">
        <v>1</v>
      </c>
      <c r="CK2801">
        <v>22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"080068700669"</f>
        <v>080068700669</v>
      </c>
      <c r="F2802" s="3">
        <v>45953</v>
      </c>
      <c r="G2802">
        <v>202607</v>
      </c>
      <c r="H2802" t="s">
        <v>79</v>
      </c>
      <c r="I2802" t="s">
        <v>80</v>
      </c>
      <c r="J2802" t="s">
        <v>91</v>
      </c>
      <c r="K2802" t="s">
        <v>78</v>
      </c>
      <c r="L2802" t="s">
        <v>322</v>
      </c>
      <c r="M2802" t="s">
        <v>322</v>
      </c>
      <c r="N2802" t="s">
        <v>483</v>
      </c>
      <c r="O2802" t="s">
        <v>82</v>
      </c>
      <c r="P2802" t="str">
        <f>"4170065781                    "</f>
        <v xml:space="preserve">4170065781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121.55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6</v>
      </c>
      <c r="BJ2802">
        <v>3.4</v>
      </c>
      <c r="BK2802">
        <v>6</v>
      </c>
      <c r="BL2802">
        <v>385.79</v>
      </c>
      <c r="BM2802">
        <v>57.87</v>
      </c>
      <c r="BN2802">
        <v>443.66</v>
      </c>
      <c r="BO2802">
        <v>443.66</v>
      </c>
      <c r="BQ2802" t="s">
        <v>486</v>
      </c>
      <c r="BR2802" t="s">
        <v>97</v>
      </c>
      <c r="BS2802" s="3">
        <v>45954</v>
      </c>
      <c r="BT2802" s="4">
        <v>0.50069444444444444</v>
      </c>
      <c r="BU2802" t="s">
        <v>485</v>
      </c>
      <c r="BV2802" t="s">
        <v>86</v>
      </c>
      <c r="BY2802">
        <v>16965</v>
      </c>
      <c r="CA2802" t="s">
        <v>326</v>
      </c>
      <c r="CC2802" t="s">
        <v>322</v>
      </c>
      <c r="CD2802">
        <v>7646</v>
      </c>
      <c r="CE2802" t="s">
        <v>191</v>
      </c>
      <c r="CF2802" s="3">
        <v>45957</v>
      </c>
      <c r="CI2802">
        <v>1</v>
      </c>
      <c r="CJ2802">
        <v>1</v>
      </c>
      <c r="CK2802">
        <v>23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"080068700689"</f>
        <v>080068700689</v>
      </c>
      <c r="F2803" s="3">
        <v>45953</v>
      </c>
      <c r="G2803">
        <v>202607</v>
      </c>
      <c r="H2803" t="s">
        <v>79</v>
      </c>
      <c r="I2803" t="s">
        <v>80</v>
      </c>
      <c r="J2803" t="s">
        <v>91</v>
      </c>
      <c r="K2803" t="s">
        <v>78</v>
      </c>
      <c r="L2803" t="s">
        <v>148</v>
      </c>
      <c r="M2803" t="s">
        <v>149</v>
      </c>
      <c r="N2803" t="s">
        <v>2936</v>
      </c>
      <c r="O2803" t="s">
        <v>82</v>
      </c>
      <c r="P2803" t="str">
        <f>"4170065783                    "</f>
        <v xml:space="preserve">4170065783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22.36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16.739999999999998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87.7</v>
      </c>
      <c r="BM2803">
        <v>13.16</v>
      </c>
      <c r="BN2803">
        <v>100.86</v>
      </c>
      <c r="BO2803">
        <v>100.86</v>
      </c>
      <c r="BQ2803" t="s">
        <v>2937</v>
      </c>
      <c r="BR2803" t="s">
        <v>97</v>
      </c>
      <c r="BS2803" s="3">
        <v>45954</v>
      </c>
      <c r="BT2803" s="4">
        <v>0.4777777777777778</v>
      </c>
      <c r="BU2803" t="s">
        <v>2937</v>
      </c>
      <c r="BV2803" t="s">
        <v>86</v>
      </c>
      <c r="BY2803">
        <v>1200</v>
      </c>
      <c r="BZ2803" t="s">
        <v>30</v>
      </c>
      <c r="CA2803" t="s">
        <v>3228</v>
      </c>
      <c r="CC2803" t="s">
        <v>149</v>
      </c>
      <c r="CD2803">
        <v>1821</v>
      </c>
      <c r="CE2803" t="s">
        <v>147</v>
      </c>
      <c r="CF2803" s="3">
        <v>45957</v>
      </c>
      <c r="CI2803">
        <v>0</v>
      </c>
      <c r="CJ2803">
        <v>0</v>
      </c>
      <c r="CK2803">
        <v>21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"080068700703"</f>
        <v>080068700703</v>
      </c>
      <c r="F2804" s="3">
        <v>45953</v>
      </c>
      <c r="G2804">
        <v>202607</v>
      </c>
      <c r="H2804" t="s">
        <v>79</v>
      </c>
      <c r="I2804" t="s">
        <v>80</v>
      </c>
      <c r="J2804" t="s">
        <v>91</v>
      </c>
      <c r="K2804" t="s">
        <v>78</v>
      </c>
      <c r="L2804" t="s">
        <v>108</v>
      </c>
      <c r="M2804" t="s">
        <v>109</v>
      </c>
      <c r="N2804" t="s">
        <v>515</v>
      </c>
      <c r="O2804" t="s">
        <v>82</v>
      </c>
      <c r="P2804" t="str">
        <f>"4170065685                    "</f>
        <v xml:space="preserve">4170065685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22.36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0.7</v>
      </c>
      <c r="BK2804">
        <v>1</v>
      </c>
      <c r="BL2804">
        <v>70.959999999999994</v>
      </c>
      <c r="BM2804">
        <v>10.64</v>
      </c>
      <c r="BN2804">
        <v>81.599999999999994</v>
      </c>
      <c r="BO2804">
        <v>81.599999999999994</v>
      </c>
      <c r="BQ2804" t="s">
        <v>516</v>
      </c>
      <c r="BR2804" t="s">
        <v>97</v>
      </c>
      <c r="BS2804" s="3">
        <v>45954</v>
      </c>
      <c r="BT2804" s="4">
        <v>0.41875000000000001</v>
      </c>
      <c r="BU2804" t="s">
        <v>2672</v>
      </c>
      <c r="BV2804" t="s">
        <v>86</v>
      </c>
      <c r="BY2804">
        <v>3306</v>
      </c>
      <c r="CA2804" t="s">
        <v>762</v>
      </c>
      <c r="CC2804" t="s">
        <v>109</v>
      </c>
      <c r="CD2804">
        <v>6001</v>
      </c>
      <c r="CE2804" t="s">
        <v>191</v>
      </c>
      <c r="CF2804" s="3">
        <v>45954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"080068700718"</f>
        <v>080068700718</v>
      </c>
      <c r="F2805" s="3">
        <v>45953</v>
      </c>
      <c r="G2805">
        <v>202607</v>
      </c>
      <c r="H2805" t="s">
        <v>79</v>
      </c>
      <c r="I2805" t="s">
        <v>80</v>
      </c>
      <c r="J2805" t="s">
        <v>91</v>
      </c>
      <c r="K2805" t="s">
        <v>78</v>
      </c>
      <c r="L2805" t="s">
        <v>148</v>
      </c>
      <c r="M2805" t="s">
        <v>149</v>
      </c>
      <c r="N2805" t="s">
        <v>3229</v>
      </c>
      <c r="O2805" t="s">
        <v>82</v>
      </c>
      <c r="P2805" t="str">
        <f>"4170065862                    "</f>
        <v xml:space="preserve">4170065862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17.46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55.42</v>
      </c>
      <c r="BM2805">
        <v>8.31</v>
      </c>
      <c r="BN2805">
        <v>63.73</v>
      </c>
      <c r="BO2805">
        <v>63.73</v>
      </c>
      <c r="BQ2805" t="s">
        <v>3230</v>
      </c>
      <c r="BR2805" t="s">
        <v>97</v>
      </c>
      <c r="BS2805" s="3">
        <v>45954</v>
      </c>
      <c r="BT2805" s="4">
        <v>0.35902777777777778</v>
      </c>
      <c r="BU2805" t="s">
        <v>3231</v>
      </c>
      <c r="BV2805" t="s">
        <v>86</v>
      </c>
      <c r="BY2805">
        <v>1200</v>
      </c>
      <c r="CA2805" t="s">
        <v>1421</v>
      </c>
      <c r="CC2805" t="s">
        <v>149</v>
      </c>
      <c r="CD2805">
        <v>2093</v>
      </c>
      <c r="CE2805" t="s">
        <v>147</v>
      </c>
      <c r="CF2805" s="3">
        <v>45954</v>
      </c>
      <c r="CI2805">
        <v>1</v>
      </c>
      <c r="CJ2805">
        <v>1</v>
      </c>
      <c r="CK2805">
        <v>22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"080068700758"</f>
        <v>080068700758</v>
      </c>
      <c r="F2806" s="3">
        <v>45953</v>
      </c>
      <c r="G2806">
        <v>202607</v>
      </c>
      <c r="H2806" t="s">
        <v>79</v>
      </c>
      <c r="I2806" t="s">
        <v>80</v>
      </c>
      <c r="J2806" t="s">
        <v>91</v>
      </c>
      <c r="K2806" t="s">
        <v>78</v>
      </c>
      <c r="L2806" t="s">
        <v>271</v>
      </c>
      <c r="M2806" t="s">
        <v>272</v>
      </c>
      <c r="N2806" t="s">
        <v>1489</v>
      </c>
      <c r="O2806" t="s">
        <v>82</v>
      </c>
      <c r="P2806" t="str">
        <f>"4170065750                    "</f>
        <v xml:space="preserve">4170065750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17.46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55.42</v>
      </c>
      <c r="BM2806">
        <v>8.31</v>
      </c>
      <c r="BN2806">
        <v>63.73</v>
      </c>
      <c r="BO2806">
        <v>63.73</v>
      </c>
      <c r="BQ2806" t="s">
        <v>1490</v>
      </c>
      <c r="BR2806" t="s">
        <v>97</v>
      </c>
      <c r="BS2806" s="3">
        <v>45954</v>
      </c>
      <c r="BT2806" s="4">
        <v>0.32083333333333336</v>
      </c>
      <c r="BU2806" t="s">
        <v>2884</v>
      </c>
      <c r="BV2806" t="s">
        <v>86</v>
      </c>
      <c r="BY2806">
        <v>1200</v>
      </c>
      <c r="CA2806" t="s">
        <v>1659</v>
      </c>
      <c r="CC2806" t="s">
        <v>272</v>
      </c>
      <c r="CD2806">
        <v>1406</v>
      </c>
      <c r="CE2806" t="s">
        <v>147</v>
      </c>
      <c r="CF2806" s="3">
        <v>45954</v>
      </c>
      <c r="CI2806">
        <v>1</v>
      </c>
      <c r="CJ2806">
        <v>1</v>
      </c>
      <c r="CK2806">
        <v>22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"080068700790"</f>
        <v>080068700790</v>
      </c>
      <c r="F2807" s="3">
        <v>45953</v>
      </c>
      <c r="G2807">
        <v>202607</v>
      </c>
      <c r="H2807" t="s">
        <v>79</v>
      </c>
      <c r="I2807" t="s">
        <v>80</v>
      </c>
      <c r="J2807" t="s">
        <v>91</v>
      </c>
      <c r="K2807" t="s">
        <v>78</v>
      </c>
      <c r="L2807" t="s">
        <v>233</v>
      </c>
      <c r="M2807" t="s">
        <v>234</v>
      </c>
      <c r="N2807" t="s">
        <v>235</v>
      </c>
      <c r="O2807" t="s">
        <v>95</v>
      </c>
      <c r="P2807" t="str">
        <f>"4170065754                    "</f>
        <v xml:space="preserve">4170065754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52.15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19.3</v>
      </c>
      <c r="BJ2807">
        <v>15.3</v>
      </c>
      <c r="BK2807">
        <v>20</v>
      </c>
      <c r="BL2807">
        <v>171.4</v>
      </c>
      <c r="BM2807">
        <v>25.71</v>
      </c>
      <c r="BN2807">
        <v>197.11</v>
      </c>
      <c r="BO2807">
        <v>197.11</v>
      </c>
      <c r="BQ2807" t="s">
        <v>236</v>
      </c>
      <c r="BR2807" t="s">
        <v>97</v>
      </c>
      <c r="BS2807" s="3">
        <v>45954</v>
      </c>
      <c r="BT2807" s="4">
        <v>0.33888888888888891</v>
      </c>
      <c r="BU2807" t="s">
        <v>1561</v>
      </c>
      <c r="BV2807" t="s">
        <v>86</v>
      </c>
      <c r="BY2807">
        <v>76327.649999999994</v>
      </c>
      <c r="CA2807">
        <v>7104145194083</v>
      </c>
      <c r="CC2807" t="s">
        <v>234</v>
      </c>
      <c r="CD2807" s="5" t="s">
        <v>238</v>
      </c>
      <c r="CE2807" t="s">
        <v>191</v>
      </c>
      <c r="CF2807" s="3">
        <v>45954</v>
      </c>
      <c r="CI2807">
        <v>1</v>
      </c>
      <c r="CJ2807">
        <v>1</v>
      </c>
      <c r="CK2807">
        <v>41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"080068700834"</f>
        <v>080068700834</v>
      </c>
      <c r="F2808" s="3">
        <v>45953</v>
      </c>
      <c r="G2808">
        <v>202607</v>
      </c>
      <c r="H2808" t="s">
        <v>79</v>
      </c>
      <c r="I2808" t="s">
        <v>80</v>
      </c>
      <c r="J2808" t="s">
        <v>91</v>
      </c>
      <c r="K2808" t="s">
        <v>78</v>
      </c>
      <c r="L2808" t="s">
        <v>108</v>
      </c>
      <c r="M2808" t="s">
        <v>109</v>
      </c>
      <c r="N2808" t="s">
        <v>956</v>
      </c>
      <c r="O2808" t="s">
        <v>82</v>
      </c>
      <c r="P2808" t="str">
        <f>"4170065782                    "</f>
        <v xml:space="preserve">4170065782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22.36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1.1000000000000001</v>
      </c>
      <c r="BK2808">
        <v>1.5</v>
      </c>
      <c r="BL2808">
        <v>70.959999999999994</v>
      </c>
      <c r="BM2808">
        <v>10.64</v>
      </c>
      <c r="BN2808">
        <v>81.599999999999994</v>
      </c>
      <c r="BO2808">
        <v>81.599999999999994</v>
      </c>
      <c r="BQ2808" t="s">
        <v>957</v>
      </c>
      <c r="BR2808" t="s">
        <v>97</v>
      </c>
      <c r="BS2808" s="3">
        <v>45954</v>
      </c>
      <c r="BT2808" s="4">
        <v>0.39374999999999999</v>
      </c>
      <c r="BU2808" t="s">
        <v>1144</v>
      </c>
      <c r="BV2808" t="s">
        <v>86</v>
      </c>
      <c r="BY2808">
        <v>5320</v>
      </c>
      <c r="CA2808" t="s">
        <v>1145</v>
      </c>
      <c r="CC2808" t="s">
        <v>109</v>
      </c>
      <c r="CD2808">
        <v>6001</v>
      </c>
      <c r="CE2808" t="s">
        <v>191</v>
      </c>
      <c r="CF2808" s="3">
        <v>45954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"080068700880"</f>
        <v>080068700880</v>
      </c>
      <c r="F2809" s="3">
        <v>45953</v>
      </c>
      <c r="G2809">
        <v>202607</v>
      </c>
      <c r="H2809" t="s">
        <v>79</v>
      </c>
      <c r="I2809" t="s">
        <v>80</v>
      </c>
      <c r="J2809" t="s">
        <v>91</v>
      </c>
      <c r="K2809" t="s">
        <v>78</v>
      </c>
      <c r="L2809" t="s">
        <v>281</v>
      </c>
      <c r="M2809" t="s">
        <v>282</v>
      </c>
      <c r="N2809" t="s">
        <v>3232</v>
      </c>
      <c r="O2809" t="s">
        <v>82</v>
      </c>
      <c r="P2809" t="str">
        <f>"4170065779                    "</f>
        <v xml:space="preserve">4170065779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43.31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1.5</v>
      </c>
      <c r="BK2809">
        <v>1.5</v>
      </c>
      <c r="BL2809">
        <v>137.47</v>
      </c>
      <c r="BM2809">
        <v>20.62</v>
      </c>
      <c r="BN2809">
        <v>158.09</v>
      </c>
      <c r="BO2809">
        <v>158.09</v>
      </c>
      <c r="BQ2809" t="s">
        <v>3233</v>
      </c>
      <c r="BR2809" t="s">
        <v>97</v>
      </c>
      <c r="BS2809" s="3">
        <v>45954</v>
      </c>
      <c r="BT2809" s="4">
        <v>0.4375</v>
      </c>
      <c r="BU2809" t="s">
        <v>3234</v>
      </c>
      <c r="BV2809" t="s">
        <v>86</v>
      </c>
      <c r="BY2809">
        <v>7290</v>
      </c>
      <c r="CA2809" t="s">
        <v>2018</v>
      </c>
      <c r="CC2809" t="s">
        <v>282</v>
      </c>
      <c r="CD2809">
        <v>1960</v>
      </c>
      <c r="CE2809" t="s">
        <v>107</v>
      </c>
      <c r="CF2809" s="3">
        <v>45957</v>
      </c>
      <c r="CI2809">
        <v>1</v>
      </c>
      <c r="CJ2809">
        <v>1</v>
      </c>
      <c r="CK2809">
        <v>23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"080068700923"</f>
        <v>080068700923</v>
      </c>
      <c r="F2810" s="3">
        <v>45953</v>
      </c>
      <c r="G2810">
        <v>202607</v>
      </c>
      <c r="H2810" t="s">
        <v>79</v>
      </c>
      <c r="I2810" t="s">
        <v>80</v>
      </c>
      <c r="J2810" t="s">
        <v>91</v>
      </c>
      <c r="K2810" t="s">
        <v>78</v>
      </c>
      <c r="L2810" t="s">
        <v>168</v>
      </c>
      <c r="M2810" t="s">
        <v>169</v>
      </c>
      <c r="N2810" t="s">
        <v>1218</v>
      </c>
      <c r="O2810" t="s">
        <v>82</v>
      </c>
      <c r="P2810" t="str">
        <f>"4170065868                    "</f>
        <v xml:space="preserve">4170065868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22.36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1.1000000000000001</v>
      </c>
      <c r="BK2810">
        <v>2</v>
      </c>
      <c r="BL2810">
        <v>70.959999999999994</v>
      </c>
      <c r="BM2810">
        <v>10.64</v>
      </c>
      <c r="BN2810">
        <v>81.599999999999994</v>
      </c>
      <c r="BO2810">
        <v>81.599999999999994</v>
      </c>
      <c r="BQ2810" t="s">
        <v>1219</v>
      </c>
      <c r="BR2810" t="s">
        <v>97</v>
      </c>
      <c r="BS2810" s="3">
        <v>45954</v>
      </c>
      <c r="BT2810" s="4">
        <v>0.36527777777777776</v>
      </c>
      <c r="BU2810" t="s">
        <v>3235</v>
      </c>
      <c r="BV2810" t="s">
        <v>86</v>
      </c>
      <c r="BY2810">
        <v>5320</v>
      </c>
      <c r="CA2810" s="5" t="s">
        <v>2424</v>
      </c>
      <c r="CC2810" t="s">
        <v>169</v>
      </c>
      <c r="CD2810" s="5" t="s">
        <v>2425</v>
      </c>
      <c r="CE2810" t="s">
        <v>191</v>
      </c>
      <c r="CF2810" s="3">
        <v>45954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"080068701037"</f>
        <v>080068701037</v>
      </c>
      <c r="F2811" s="3">
        <v>45953</v>
      </c>
      <c r="G2811">
        <v>202607</v>
      </c>
      <c r="H2811" t="s">
        <v>79</v>
      </c>
      <c r="I2811" t="s">
        <v>80</v>
      </c>
      <c r="J2811" t="s">
        <v>91</v>
      </c>
      <c r="K2811" t="s">
        <v>78</v>
      </c>
      <c r="L2811" t="s">
        <v>271</v>
      </c>
      <c r="M2811" t="s">
        <v>272</v>
      </c>
      <c r="N2811" t="s">
        <v>3236</v>
      </c>
      <c r="O2811" t="s">
        <v>226</v>
      </c>
      <c r="P2811" t="str">
        <f>"4170065743                    "</f>
        <v xml:space="preserve">4170065743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23.35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9</v>
      </c>
      <c r="BJ2811">
        <v>10.9</v>
      </c>
      <c r="BK2811">
        <v>11</v>
      </c>
      <c r="BL2811">
        <v>74.099999999999994</v>
      </c>
      <c r="BM2811">
        <v>11.12</v>
      </c>
      <c r="BN2811">
        <v>85.22</v>
      </c>
      <c r="BO2811">
        <v>85.22</v>
      </c>
      <c r="BQ2811" t="s">
        <v>3237</v>
      </c>
      <c r="BR2811" t="s">
        <v>97</v>
      </c>
      <c r="BS2811" s="3">
        <v>45954</v>
      </c>
      <c r="BT2811" s="4">
        <v>0.4375</v>
      </c>
      <c r="BU2811" t="s">
        <v>3238</v>
      </c>
      <c r="BV2811" t="s">
        <v>86</v>
      </c>
      <c r="BY2811">
        <v>54450</v>
      </c>
      <c r="CA2811" t="s">
        <v>1659</v>
      </c>
      <c r="CC2811" t="s">
        <v>272</v>
      </c>
      <c r="CD2811">
        <v>1401</v>
      </c>
      <c r="CE2811" t="s">
        <v>975</v>
      </c>
      <c r="CF2811" s="3">
        <v>45954</v>
      </c>
      <c r="CI2811">
        <v>1</v>
      </c>
      <c r="CJ2811">
        <v>1</v>
      </c>
      <c r="CK2811">
        <v>32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"080068701087"</f>
        <v>080068701087</v>
      </c>
      <c r="F2812" s="3">
        <v>45953</v>
      </c>
      <c r="G2812">
        <v>202607</v>
      </c>
      <c r="H2812" t="s">
        <v>79</v>
      </c>
      <c r="I2812" t="s">
        <v>80</v>
      </c>
      <c r="J2812" t="s">
        <v>91</v>
      </c>
      <c r="K2812" t="s">
        <v>78</v>
      </c>
      <c r="L2812" t="s">
        <v>453</v>
      </c>
      <c r="M2812" t="s">
        <v>454</v>
      </c>
      <c r="N2812" t="s">
        <v>1223</v>
      </c>
      <c r="O2812" t="s">
        <v>82</v>
      </c>
      <c r="P2812" t="str">
        <f>"4170064731                    "</f>
        <v xml:space="preserve">4170064731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22.36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70.959999999999994</v>
      </c>
      <c r="BM2812">
        <v>10.64</v>
      </c>
      <c r="BN2812">
        <v>81.599999999999994</v>
      </c>
      <c r="BO2812">
        <v>81.599999999999994</v>
      </c>
      <c r="BQ2812" t="s">
        <v>1224</v>
      </c>
      <c r="BR2812" t="s">
        <v>97</v>
      </c>
      <c r="BS2812" s="3">
        <v>45954</v>
      </c>
      <c r="BT2812" s="4">
        <v>0.38472222222222224</v>
      </c>
      <c r="BU2812" t="s">
        <v>2675</v>
      </c>
      <c r="BV2812" t="s">
        <v>86</v>
      </c>
      <c r="BY2812">
        <v>1200</v>
      </c>
      <c r="CA2812" t="s">
        <v>742</v>
      </c>
      <c r="CC2812" t="s">
        <v>454</v>
      </c>
      <c r="CD2812">
        <v>3610</v>
      </c>
      <c r="CE2812" t="s">
        <v>147</v>
      </c>
      <c r="CF2812" s="3">
        <v>45954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"080068701117"</f>
        <v>080068701117</v>
      </c>
      <c r="F2813" s="3">
        <v>45953</v>
      </c>
      <c r="G2813">
        <v>202607</v>
      </c>
      <c r="H2813" t="s">
        <v>79</v>
      </c>
      <c r="I2813" t="s">
        <v>80</v>
      </c>
      <c r="J2813" t="s">
        <v>91</v>
      </c>
      <c r="K2813" t="s">
        <v>78</v>
      </c>
      <c r="L2813" t="s">
        <v>108</v>
      </c>
      <c r="M2813" t="s">
        <v>109</v>
      </c>
      <c r="N2813" t="s">
        <v>997</v>
      </c>
      <c r="O2813" t="s">
        <v>82</v>
      </c>
      <c r="P2813" t="str">
        <f>"4170065726                    "</f>
        <v xml:space="preserve">4170065726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22.36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70.959999999999994</v>
      </c>
      <c r="BM2813">
        <v>10.64</v>
      </c>
      <c r="BN2813">
        <v>81.599999999999994</v>
      </c>
      <c r="BO2813">
        <v>81.599999999999994</v>
      </c>
      <c r="BQ2813" t="s">
        <v>998</v>
      </c>
      <c r="BR2813" t="s">
        <v>97</v>
      </c>
      <c r="BS2813" s="3">
        <v>45954</v>
      </c>
      <c r="BT2813" s="4">
        <v>0.40277777777777779</v>
      </c>
      <c r="BU2813" t="s">
        <v>3217</v>
      </c>
      <c r="BV2813" t="s">
        <v>86</v>
      </c>
      <c r="BY2813">
        <v>1200</v>
      </c>
      <c r="CA2813" t="s">
        <v>1000</v>
      </c>
      <c r="CC2813" t="s">
        <v>109</v>
      </c>
      <c r="CD2813">
        <v>6001</v>
      </c>
      <c r="CE2813" t="s">
        <v>147</v>
      </c>
      <c r="CF2813" s="3">
        <v>45954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"080068701832"</f>
        <v>080068701832</v>
      </c>
      <c r="F2814" s="3">
        <v>45953</v>
      </c>
      <c r="G2814">
        <v>202607</v>
      </c>
      <c r="H2814" t="s">
        <v>79</v>
      </c>
      <c r="I2814" t="s">
        <v>80</v>
      </c>
      <c r="J2814" t="s">
        <v>91</v>
      </c>
      <c r="K2814" t="s">
        <v>78</v>
      </c>
      <c r="L2814" t="s">
        <v>1508</v>
      </c>
      <c r="M2814" t="s">
        <v>1509</v>
      </c>
      <c r="N2814" t="s">
        <v>1660</v>
      </c>
      <c r="O2814" t="s">
        <v>82</v>
      </c>
      <c r="P2814" t="str">
        <f>"4170065683                    "</f>
        <v xml:space="preserve">4170065683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72.650000000000006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3.4</v>
      </c>
      <c r="BJ2814">
        <v>1.4</v>
      </c>
      <c r="BK2814">
        <v>3.5</v>
      </c>
      <c r="BL2814">
        <v>230.59</v>
      </c>
      <c r="BM2814">
        <v>34.590000000000003</v>
      </c>
      <c r="BN2814">
        <v>265.18</v>
      </c>
      <c r="BO2814">
        <v>265.18</v>
      </c>
      <c r="BQ2814" t="s">
        <v>1661</v>
      </c>
      <c r="BR2814" t="s">
        <v>97</v>
      </c>
      <c r="BS2814" s="3">
        <v>45959</v>
      </c>
      <c r="BT2814" s="4">
        <v>0.63680555555555551</v>
      </c>
      <c r="BU2814" t="s">
        <v>1941</v>
      </c>
      <c r="BV2814" t="s">
        <v>90</v>
      </c>
      <c r="BW2814" t="s">
        <v>771</v>
      </c>
      <c r="BX2814" t="s">
        <v>3239</v>
      </c>
      <c r="BY2814">
        <v>7125.3</v>
      </c>
      <c r="CC2814" t="s">
        <v>1509</v>
      </c>
      <c r="CD2814">
        <v>3370</v>
      </c>
      <c r="CE2814" t="s">
        <v>191</v>
      </c>
      <c r="CF2814" s="3">
        <v>45960</v>
      </c>
      <c r="CI2814">
        <v>2</v>
      </c>
      <c r="CJ2814">
        <v>4</v>
      </c>
      <c r="CK2814">
        <v>23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"080068701946"</f>
        <v>080068701946</v>
      </c>
      <c r="F2815" s="3">
        <v>45953</v>
      </c>
      <c r="G2815">
        <v>202607</v>
      </c>
      <c r="H2815" t="s">
        <v>79</v>
      </c>
      <c r="I2815" t="s">
        <v>80</v>
      </c>
      <c r="J2815" t="s">
        <v>91</v>
      </c>
      <c r="K2815" t="s">
        <v>78</v>
      </c>
      <c r="L2815" t="s">
        <v>206</v>
      </c>
      <c r="M2815" t="s">
        <v>207</v>
      </c>
      <c r="N2815" t="s">
        <v>1115</v>
      </c>
      <c r="O2815" t="s">
        <v>82</v>
      </c>
      <c r="P2815" t="str">
        <f>"4170065699                    "</f>
        <v xml:space="preserve">4170065699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22.36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0.9</v>
      </c>
      <c r="BK2815">
        <v>2</v>
      </c>
      <c r="BL2815">
        <v>70.959999999999994</v>
      </c>
      <c r="BM2815">
        <v>10.64</v>
      </c>
      <c r="BN2815">
        <v>81.599999999999994</v>
      </c>
      <c r="BO2815">
        <v>81.599999999999994</v>
      </c>
      <c r="BQ2815" t="s">
        <v>1116</v>
      </c>
      <c r="BR2815" t="s">
        <v>97</v>
      </c>
      <c r="BS2815" s="3">
        <v>45954</v>
      </c>
      <c r="BT2815" s="4">
        <v>0.43541666666666667</v>
      </c>
      <c r="BU2815" t="s">
        <v>3240</v>
      </c>
      <c r="BV2815" t="s">
        <v>86</v>
      </c>
      <c r="BY2815">
        <v>4275</v>
      </c>
      <c r="CA2815" t="s">
        <v>461</v>
      </c>
      <c r="CC2815" t="s">
        <v>207</v>
      </c>
      <c r="CD2815">
        <v>7530</v>
      </c>
      <c r="CE2815" t="s">
        <v>191</v>
      </c>
      <c r="CF2815" s="3">
        <v>45957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"080068701977"</f>
        <v>080068701977</v>
      </c>
      <c r="F2816" s="3">
        <v>45953</v>
      </c>
      <c r="G2816">
        <v>202607</v>
      </c>
      <c r="H2816" t="s">
        <v>79</v>
      </c>
      <c r="I2816" t="s">
        <v>80</v>
      </c>
      <c r="J2816" t="s">
        <v>91</v>
      </c>
      <c r="K2816" t="s">
        <v>78</v>
      </c>
      <c r="L2816" t="s">
        <v>108</v>
      </c>
      <c r="M2816" t="s">
        <v>109</v>
      </c>
      <c r="N2816" t="s">
        <v>256</v>
      </c>
      <c r="O2816" t="s">
        <v>82</v>
      </c>
      <c r="P2816" t="str">
        <f>"4170065869                    "</f>
        <v xml:space="preserve">4170065869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22.36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70.959999999999994</v>
      </c>
      <c r="BM2816">
        <v>10.64</v>
      </c>
      <c r="BN2816">
        <v>81.599999999999994</v>
      </c>
      <c r="BO2816">
        <v>81.599999999999994</v>
      </c>
      <c r="BQ2816" t="s">
        <v>257</v>
      </c>
      <c r="BR2816" t="s">
        <v>97</v>
      </c>
      <c r="BS2816" s="3">
        <v>45954</v>
      </c>
      <c r="BT2816" s="4">
        <v>0.3888888888888889</v>
      </c>
      <c r="BU2816" t="s">
        <v>258</v>
      </c>
      <c r="BV2816" t="s">
        <v>86</v>
      </c>
      <c r="BY2816">
        <v>1200</v>
      </c>
      <c r="CA2816" t="s">
        <v>142</v>
      </c>
      <c r="CC2816" t="s">
        <v>109</v>
      </c>
      <c r="CD2816">
        <v>6001</v>
      </c>
      <c r="CE2816" t="s">
        <v>147</v>
      </c>
      <c r="CF2816" s="3">
        <v>45954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"080068702000"</f>
        <v>080068702000</v>
      </c>
      <c r="F2817" s="3">
        <v>45953</v>
      </c>
      <c r="G2817">
        <v>202607</v>
      </c>
      <c r="H2817" t="s">
        <v>79</v>
      </c>
      <c r="I2817" t="s">
        <v>80</v>
      </c>
      <c r="J2817" t="s">
        <v>91</v>
      </c>
      <c r="K2817" t="s">
        <v>78</v>
      </c>
      <c r="L2817" t="s">
        <v>322</v>
      </c>
      <c r="M2817" t="s">
        <v>322</v>
      </c>
      <c r="N2817" t="s">
        <v>481</v>
      </c>
      <c r="O2817" t="s">
        <v>82</v>
      </c>
      <c r="P2817" t="str">
        <f>"4170065873                    "</f>
        <v xml:space="preserve">4170065873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43.31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137.47</v>
      </c>
      <c r="BM2817">
        <v>20.62</v>
      </c>
      <c r="BN2817">
        <v>158.09</v>
      </c>
      <c r="BO2817">
        <v>158.09</v>
      </c>
      <c r="BQ2817" t="s">
        <v>482</v>
      </c>
      <c r="BR2817" t="s">
        <v>97</v>
      </c>
      <c r="BS2817" s="3">
        <v>45954</v>
      </c>
      <c r="BT2817" s="4">
        <v>0.50347222222222221</v>
      </c>
      <c r="BU2817" t="s">
        <v>378</v>
      </c>
      <c r="BV2817" t="s">
        <v>86</v>
      </c>
      <c r="BY2817">
        <v>1200</v>
      </c>
      <c r="CA2817" t="s">
        <v>326</v>
      </c>
      <c r="CC2817" t="s">
        <v>322</v>
      </c>
      <c r="CD2817">
        <v>7646</v>
      </c>
      <c r="CE2817" t="s">
        <v>147</v>
      </c>
      <c r="CF2817" s="3">
        <v>45957</v>
      </c>
      <c r="CI2817">
        <v>1</v>
      </c>
      <c r="CJ2817">
        <v>1</v>
      </c>
      <c r="CK2817">
        <v>23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"080068702028"</f>
        <v>080068702028</v>
      </c>
      <c r="F2818" s="3">
        <v>45953</v>
      </c>
      <c r="G2818">
        <v>202607</v>
      </c>
      <c r="H2818" t="s">
        <v>79</v>
      </c>
      <c r="I2818" t="s">
        <v>80</v>
      </c>
      <c r="J2818" t="s">
        <v>91</v>
      </c>
      <c r="K2818" t="s">
        <v>78</v>
      </c>
      <c r="L2818" t="s">
        <v>206</v>
      </c>
      <c r="M2818" t="s">
        <v>207</v>
      </c>
      <c r="N2818" t="s">
        <v>3241</v>
      </c>
      <c r="O2818" t="s">
        <v>82</v>
      </c>
      <c r="P2818" t="str">
        <f>"4170065882                    "</f>
        <v xml:space="preserve">4170065882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22.36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70.959999999999994</v>
      </c>
      <c r="BM2818">
        <v>10.64</v>
      </c>
      <c r="BN2818">
        <v>81.599999999999994</v>
      </c>
      <c r="BO2818">
        <v>81.599999999999994</v>
      </c>
      <c r="BQ2818" t="s">
        <v>3242</v>
      </c>
      <c r="BR2818" t="s">
        <v>97</v>
      </c>
      <c r="BS2818" s="3">
        <v>45954</v>
      </c>
      <c r="BT2818" s="4">
        <v>0.37569444444444444</v>
      </c>
      <c r="BU2818" t="s">
        <v>3243</v>
      </c>
      <c r="BV2818" t="s">
        <v>86</v>
      </c>
      <c r="BY2818">
        <v>1200</v>
      </c>
      <c r="CA2818" t="s">
        <v>423</v>
      </c>
      <c r="CC2818" t="s">
        <v>207</v>
      </c>
      <c r="CD2818">
        <v>7560</v>
      </c>
      <c r="CE2818" t="s">
        <v>147</v>
      </c>
      <c r="CF2818" s="3">
        <v>45957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"080068702029"</f>
        <v>080068702029</v>
      </c>
      <c r="F2819" s="3">
        <v>45953</v>
      </c>
      <c r="G2819">
        <v>202607</v>
      </c>
      <c r="H2819" t="s">
        <v>79</v>
      </c>
      <c r="I2819" t="s">
        <v>80</v>
      </c>
      <c r="J2819" t="s">
        <v>91</v>
      </c>
      <c r="K2819" t="s">
        <v>78</v>
      </c>
      <c r="L2819" t="s">
        <v>1008</v>
      </c>
      <c r="M2819" t="s">
        <v>1009</v>
      </c>
      <c r="N2819" t="s">
        <v>1344</v>
      </c>
      <c r="O2819" t="s">
        <v>82</v>
      </c>
      <c r="P2819" t="str">
        <f>"4170064822                    "</f>
        <v xml:space="preserve">4170064822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31.44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16.739999999999998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1.9</v>
      </c>
      <c r="BK2819">
        <v>2</v>
      </c>
      <c r="BL2819">
        <v>116.53</v>
      </c>
      <c r="BM2819">
        <v>17.48</v>
      </c>
      <c r="BN2819">
        <v>134.01</v>
      </c>
      <c r="BO2819">
        <v>134.01</v>
      </c>
      <c r="BQ2819" t="s">
        <v>1345</v>
      </c>
      <c r="BR2819" t="s">
        <v>97</v>
      </c>
      <c r="BS2819" s="3">
        <v>45954</v>
      </c>
      <c r="BT2819" s="4">
        <v>0.30902777777777779</v>
      </c>
      <c r="BU2819" t="s">
        <v>2193</v>
      </c>
      <c r="BV2819" t="s">
        <v>86</v>
      </c>
      <c r="BY2819">
        <v>9576</v>
      </c>
      <c r="BZ2819" t="s">
        <v>30</v>
      </c>
      <c r="CA2819" t="s">
        <v>2194</v>
      </c>
      <c r="CC2819" t="s">
        <v>1009</v>
      </c>
      <c r="CD2819">
        <v>1760</v>
      </c>
      <c r="CE2819" t="s">
        <v>191</v>
      </c>
      <c r="CF2819" s="3">
        <v>45954</v>
      </c>
      <c r="CI2819">
        <v>1</v>
      </c>
      <c r="CJ2819">
        <v>1</v>
      </c>
      <c r="CK2819">
        <v>24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"080068702044"</f>
        <v>080068702044</v>
      </c>
      <c r="F2820" s="3">
        <v>45953</v>
      </c>
      <c r="G2820">
        <v>202607</v>
      </c>
      <c r="H2820" t="s">
        <v>79</v>
      </c>
      <c r="I2820" t="s">
        <v>80</v>
      </c>
      <c r="J2820" t="s">
        <v>91</v>
      </c>
      <c r="K2820" t="s">
        <v>78</v>
      </c>
      <c r="L2820" t="s">
        <v>453</v>
      </c>
      <c r="M2820" t="s">
        <v>454</v>
      </c>
      <c r="N2820" t="s">
        <v>665</v>
      </c>
      <c r="O2820" t="s">
        <v>82</v>
      </c>
      <c r="P2820" t="str">
        <f>"4170065859                    "</f>
        <v xml:space="preserve">4170065859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33.520000000000003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3</v>
      </c>
      <c r="BJ2820">
        <v>1.9</v>
      </c>
      <c r="BK2820">
        <v>3</v>
      </c>
      <c r="BL2820">
        <v>106.4</v>
      </c>
      <c r="BM2820">
        <v>15.96</v>
      </c>
      <c r="BN2820">
        <v>122.36</v>
      </c>
      <c r="BO2820">
        <v>122.36</v>
      </c>
      <c r="BQ2820" t="s">
        <v>666</v>
      </c>
      <c r="BR2820" t="s">
        <v>97</v>
      </c>
      <c r="BS2820" s="3">
        <v>45954</v>
      </c>
      <c r="BT2820" s="4">
        <v>0.39166666666666666</v>
      </c>
      <c r="BU2820" t="s">
        <v>1562</v>
      </c>
      <c r="BV2820" t="s">
        <v>86</v>
      </c>
      <c r="BY2820">
        <v>9576</v>
      </c>
      <c r="CA2820" t="s">
        <v>742</v>
      </c>
      <c r="CC2820" t="s">
        <v>454</v>
      </c>
      <c r="CD2820">
        <v>3610</v>
      </c>
      <c r="CE2820" t="s">
        <v>191</v>
      </c>
      <c r="CF2820" s="3">
        <v>45954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"080068702062"</f>
        <v>080068702062</v>
      </c>
      <c r="F2821" s="3">
        <v>45953</v>
      </c>
      <c r="G2821">
        <v>202607</v>
      </c>
      <c r="H2821" t="s">
        <v>79</v>
      </c>
      <c r="I2821" t="s">
        <v>80</v>
      </c>
      <c r="J2821" t="s">
        <v>91</v>
      </c>
      <c r="K2821" t="s">
        <v>78</v>
      </c>
      <c r="L2821" t="s">
        <v>206</v>
      </c>
      <c r="M2821" t="s">
        <v>207</v>
      </c>
      <c r="N2821" t="s">
        <v>656</v>
      </c>
      <c r="O2821" t="s">
        <v>82</v>
      </c>
      <c r="P2821" t="str">
        <f>"4170065877                    "</f>
        <v xml:space="preserve">4170065877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22.36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0.9</v>
      </c>
      <c r="BK2821">
        <v>1</v>
      </c>
      <c r="BL2821">
        <v>70.959999999999994</v>
      </c>
      <c r="BM2821">
        <v>10.64</v>
      </c>
      <c r="BN2821">
        <v>81.599999999999994</v>
      </c>
      <c r="BO2821">
        <v>81.599999999999994</v>
      </c>
      <c r="BQ2821" t="s">
        <v>657</v>
      </c>
      <c r="BR2821" t="s">
        <v>97</v>
      </c>
      <c r="BS2821" s="3">
        <v>45954</v>
      </c>
      <c r="BT2821" s="4">
        <v>0.39861111111111114</v>
      </c>
      <c r="BU2821" t="s">
        <v>658</v>
      </c>
      <c r="BV2821" t="s">
        <v>86</v>
      </c>
      <c r="BY2821">
        <v>4256</v>
      </c>
      <c r="CA2821" t="s">
        <v>211</v>
      </c>
      <c r="CC2821" t="s">
        <v>207</v>
      </c>
      <c r="CD2821">
        <v>7441</v>
      </c>
      <c r="CE2821" t="s">
        <v>191</v>
      </c>
      <c r="CF2821" s="3">
        <v>45957</v>
      </c>
      <c r="CI2821">
        <v>1</v>
      </c>
      <c r="CJ2821">
        <v>1</v>
      </c>
      <c r="CK2821">
        <v>21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"080068702076"</f>
        <v>080068702076</v>
      </c>
      <c r="F2822" s="3">
        <v>45953</v>
      </c>
      <c r="G2822">
        <v>202607</v>
      </c>
      <c r="H2822" t="s">
        <v>79</v>
      </c>
      <c r="I2822" t="s">
        <v>80</v>
      </c>
      <c r="J2822" t="s">
        <v>91</v>
      </c>
      <c r="K2822" t="s">
        <v>78</v>
      </c>
      <c r="L2822" t="s">
        <v>92</v>
      </c>
      <c r="M2822" t="s">
        <v>93</v>
      </c>
      <c r="N2822" t="s">
        <v>1871</v>
      </c>
      <c r="O2822" t="s">
        <v>82</v>
      </c>
      <c r="P2822" t="str">
        <f>"4170065801                    "</f>
        <v xml:space="preserve">4170065801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50.28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16.739999999999998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3</v>
      </c>
      <c r="BJ2822">
        <v>4.3</v>
      </c>
      <c r="BK2822">
        <v>4.5</v>
      </c>
      <c r="BL2822">
        <v>176.32</v>
      </c>
      <c r="BM2822">
        <v>26.45</v>
      </c>
      <c r="BN2822">
        <v>202.77</v>
      </c>
      <c r="BO2822">
        <v>202.77</v>
      </c>
      <c r="BQ2822" t="s">
        <v>1872</v>
      </c>
      <c r="BR2822" t="s">
        <v>97</v>
      </c>
      <c r="BS2822" s="3">
        <v>45954</v>
      </c>
      <c r="BT2822" s="4">
        <v>0.52083333333333337</v>
      </c>
      <c r="BU2822" t="s">
        <v>3244</v>
      </c>
      <c r="BV2822" t="s">
        <v>86</v>
      </c>
      <c r="BY2822">
        <v>21660</v>
      </c>
      <c r="BZ2822" t="s">
        <v>30</v>
      </c>
      <c r="CA2822" t="s">
        <v>3196</v>
      </c>
      <c r="CC2822" t="s">
        <v>93</v>
      </c>
      <c r="CD2822">
        <v>3699</v>
      </c>
      <c r="CE2822" t="s">
        <v>107</v>
      </c>
      <c r="CF2822" s="3">
        <v>45955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"080068702091"</f>
        <v>080068702091</v>
      </c>
      <c r="F2823" s="3">
        <v>45953</v>
      </c>
      <c r="G2823">
        <v>202607</v>
      </c>
      <c r="H2823" t="s">
        <v>79</v>
      </c>
      <c r="I2823" t="s">
        <v>80</v>
      </c>
      <c r="J2823" t="s">
        <v>91</v>
      </c>
      <c r="K2823" t="s">
        <v>78</v>
      </c>
      <c r="L2823" t="s">
        <v>884</v>
      </c>
      <c r="M2823" t="s">
        <v>885</v>
      </c>
      <c r="N2823" t="s">
        <v>886</v>
      </c>
      <c r="O2823" t="s">
        <v>82</v>
      </c>
      <c r="P2823" t="str">
        <f>"4170065918                    "</f>
        <v xml:space="preserve">4170065918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150.88999999999999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5</v>
      </c>
      <c r="BJ2823">
        <v>7.3</v>
      </c>
      <c r="BK2823">
        <v>7.5</v>
      </c>
      <c r="BL2823">
        <v>478.91</v>
      </c>
      <c r="BM2823">
        <v>71.84</v>
      </c>
      <c r="BN2823">
        <v>550.75</v>
      </c>
      <c r="BO2823">
        <v>550.75</v>
      </c>
      <c r="BQ2823" t="s">
        <v>887</v>
      </c>
      <c r="BR2823" t="s">
        <v>97</v>
      </c>
      <c r="BS2823" s="3">
        <v>45954</v>
      </c>
      <c r="BT2823" s="4">
        <v>0.29166666666666669</v>
      </c>
      <c r="BU2823" t="s">
        <v>888</v>
      </c>
      <c r="BV2823" t="s">
        <v>86</v>
      </c>
      <c r="BY2823">
        <v>36482.879999999997</v>
      </c>
      <c r="CC2823" t="s">
        <v>885</v>
      </c>
      <c r="CD2823">
        <v>2740</v>
      </c>
      <c r="CE2823" t="s">
        <v>107</v>
      </c>
      <c r="CF2823" s="3">
        <v>45957</v>
      </c>
      <c r="CI2823">
        <v>1</v>
      </c>
      <c r="CJ2823">
        <v>1</v>
      </c>
      <c r="CK2823">
        <v>23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"080068702124"</f>
        <v>080068702124</v>
      </c>
      <c r="F2824" s="3">
        <v>45953</v>
      </c>
      <c r="G2824">
        <v>202607</v>
      </c>
      <c r="H2824" t="s">
        <v>79</v>
      </c>
      <c r="I2824" t="s">
        <v>80</v>
      </c>
      <c r="J2824" t="s">
        <v>91</v>
      </c>
      <c r="K2824" t="s">
        <v>78</v>
      </c>
      <c r="L2824" t="s">
        <v>453</v>
      </c>
      <c r="M2824" t="s">
        <v>454</v>
      </c>
      <c r="N2824" t="s">
        <v>1223</v>
      </c>
      <c r="O2824" t="s">
        <v>82</v>
      </c>
      <c r="P2824" t="str">
        <f>"4170065768                    "</f>
        <v xml:space="preserve">4170065768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55.86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5</v>
      </c>
      <c r="BJ2824">
        <v>3.8</v>
      </c>
      <c r="BK2824">
        <v>5</v>
      </c>
      <c r="BL2824">
        <v>177.3</v>
      </c>
      <c r="BM2824">
        <v>26.6</v>
      </c>
      <c r="BN2824">
        <v>203.9</v>
      </c>
      <c r="BO2824">
        <v>203.9</v>
      </c>
      <c r="BQ2824" t="s">
        <v>1224</v>
      </c>
      <c r="BR2824" t="s">
        <v>97</v>
      </c>
      <c r="BS2824" s="3">
        <v>45954</v>
      </c>
      <c r="BT2824" s="4">
        <v>0.38472222222222224</v>
      </c>
      <c r="BU2824" t="s">
        <v>2675</v>
      </c>
      <c r="BV2824" t="s">
        <v>86</v>
      </c>
      <c r="BY2824">
        <v>19227</v>
      </c>
      <c r="CA2824" t="s">
        <v>742</v>
      </c>
      <c r="CC2824" t="s">
        <v>454</v>
      </c>
      <c r="CD2824">
        <v>3610</v>
      </c>
      <c r="CE2824" t="s">
        <v>191</v>
      </c>
      <c r="CF2824" s="3">
        <v>45954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"080068702140"</f>
        <v>080068702140</v>
      </c>
      <c r="F2825" s="3">
        <v>45953</v>
      </c>
      <c r="G2825">
        <v>202607</v>
      </c>
      <c r="H2825" t="s">
        <v>79</v>
      </c>
      <c r="I2825" t="s">
        <v>80</v>
      </c>
      <c r="J2825" t="s">
        <v>91</v>
      </c>
      <c r="K2825" t="s">
        <v>78</v>
      </c>
      <c r="L2825" t="s">
        <v>121</v>
      </c>
      <c r="M2825" t="s">
        <v>122</v>
      </c>
      <c r="N2825" t="s">
        <v>2245</v>
      </c>
      <c r="O2825" t="s">
        <v>82</v>
      </c>
      <c r="P2825" t="str">
        <f>"4170065905                    "</f>
        <v xml:space="preserve">4170065905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22.36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70.959999999999994</v>
      </c>
      <c r="BM2825">
        <v>10.64</v>
      </c>
      <c r="BN2825">
        <v>81.599999999999994</v>
      </c>
      <c r="BO2825">
        <v>81.599999999999994</v>
      </c>
      <c r="BQ2825" t="s">
        <v>2246</v>
      </c>
      <c r="BR2825" t="s">
        <v>97</v>
      </c>
      <c r="BS2825" s="3">
        <v>45954</v>
      </c>
      <c r="BT2825" s="4">
        <v>0.40277777777777779</v>
      </c>
      <c r="BU2825" t="s">
        <v>3245</v>
      </c>
      <c r="BV2825" t="s">
        <v>86</v>
      </c>
      <c r="BY2825">
        <v>1200</v>
      </c>
      <c r="CA2825" t="s">
        <v>3246</v>
      </c>
      <c r="CC2825" t="s">
        <v>122</v>
      </c>
      <c r="CD2825">
        <v>4052</v>
      </c>
      <c r="CE2825" t="s">
        <v>147</v>
      </c>
      <c r="CF2825" s="3">
        <v>45954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"080068702165"</f>
        <v>080068702165</v>
      </c>
      <c r="F2826" s="3">
        <v>45953</v>
      </c>
      <c r="G2826">
        <v>202607</v>
      </c>
      <c r="H2826" t="s">
        <v>79</v>
      </c>
      <c r="I2826" t="s">
        <v>80</v>
      </c>
      <c r="J2826" t="s">
        <v>91</v>
      </c>
      <c r="K2826" t="s">
        <v>78</v>
      </c>
      <c r="L2826" t="s">
        <v>206</v>
      </c>
      <c r="M2826" t="s">
        <v>207</v>
      </c>
      <c r="N2826" t="s">
        <v>458</v>
      </c>
      <c r="O2826" t="s">
        <v>82</v>
      </c>
      <c r="P2826" t="str">
        <f>"4170065659                    "</f>
        <v xml:space="preserve">4170065659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22.36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2</v>
      </c>
      <c r="BJ2826">
        <v>0.9</v>
      </c>
      <c r="BK2826">
        <v>2</v>
      </c>
      <c r="BL2826">
        <v>70.959999999999994</v>
      </c>
      <c r="BM2826">
        <v>10.64</v>
      </c>
      <c r="BN2826">
        <v>81.599999999999994</v>
      </c>
      <c r="BO2826">
        <v>81.599999999999994</v>
      </c>
      <c r="BQ2826" t="s">
        <v>459</v>
      </c>
      <c r="BR2826" t="s">
        <v>97</v>
      </c>
      <c r="BS2826" s="3">
        <v>45954</v>
      </c>
      <c r="BT2826" s="4">
        <v>0.42638888888888887</v>
      </c>
      <c r="BU2826" t="s">
        <v>1036</v>
      </c>
      <c r="BV2826" t="s">
        <v>86</v>
      </c>
      <c r="BY2826">
        <v>4275</v>
      </c>
      <c r="CA2826" t="s">
        <v>461</v>
      </c>
      <c r="CC2826" t="s">
        <v>207</v>
      </c>
      <c r="CD2826">
        <v>7530</v>
      </c>
      <c r="CE2826" t="s">
        <v>191</v>
      </c>
      <c r="CF2826" s="3">
        <v>45957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"080068702166"</f>
        <v>080068702166</v>
      </c>
      <c r="F2827" s="3">
        <v>45953</v>
      </c>
      <c r="G2827">
        <v>202607</v>
      </c>
      <c r="H2827" t="s">
        <v>79</v>
      </c>
      <c r="I2827" t="s">
        <v>80</v>
      </c>
      <c r="J2827" t="s">
        <v>91</v>
      </c>
      <c r="K2827" t="s">
        <v>78</v>
      </c>
      <c r="L2827" t="s">
        <v>884</v>
      </c>
      <c r="M2827" t="s">
        <v>885</v>
      </c>
      <c r="N2827" t="s">
        <v>886</v>
      </c>
      <c r="O2827" t="s">
        <v>82</v>
      </c>
      <c r="P2827" t="str">
        <f>"4170065887                    "</f>
        <v xml:space="preserve">4170065887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43.31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0.6</v>
      </c>
      <c r="BJ2827">
        <v>1.7</v>
      </c>
      <c r="BK2827">
        <v>2</v>
      </c>
      <c r="BL2827">
        <v>137.47</v>
      </c>
      <c r="BM2827">
        <v>20.62</v>
      </c>
      <c r="BN2827">
        <v>158.09</v>
      </c>
      <c r="BO2827">
        <v>158.09</v>
      </c>
      <c r="BQ2827" t="s">
        <v>887</v>
      </c>
      <c r="BR2827" t="s">
        <v>97</v>
      </c>
      <c r="BS2827" s="3">
        <v>45954</v>
      </c>
      <c r="BT2827" s="4">
        <v>0.29166666666666669</v>
      </c>
      <c r="BU2827" t="s">
        <v>888</v>
      </c>
      <c r="BV2827" t="s">
        <v>86</v>
      </c>
      <c r="BY2827">
        <v>8500.7999999999993</v>
      </c>
      <c r="CC2827" t="s">
        <v>885</v>
      </c>
      <c r="CD2827">
        <v>2740</v>
      </c>
      <c r="CE2827" t="s">
        <v>147</v>
      </c>
      <c r="CF2827" s="3">
        <v>45957</v>
      </c>
      <c r="CI2827">
        <v>1</v>
      </c>
      <c r="CJ2827">
        <v>1</v>
      </c>
      <c r="CK2827">
        <v>23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"080068702187"</f>
        <v>080068702187</v>
      </c>
      <c r="F2828" s="3">
        <v>45953</v>
      </c>
      <c r="G2828">
        <v>202607</v>
      </c>
      <c r="H2828" t="s">
        <v>79</v>
      </c>
      <c r="I2828" t="s">
        <v>80</v>
      </c>
      <c r="J2828" t="s">
        <v>91</v>
      </c>
      <c r="K2828" t="s">
        <v>78</v>
      </c>
      <c r="L2828" t="s">
        <v>453</v>
      </c>
      <c r="M2828" t="s">
        <v>454</v>
      </c>
      <c r="N2828" t="s">
        <v>1223</v>
      </c>
      <c r="O2828" t="s">
        <v>82</v>
      </c>
      <c r="P2828" t="str">
        <f>"4170065875                    "</f>
        <v xml:space="preserve">4170065875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22.36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70.959999999999994</v>
      </c>
      <c r="BM2828">
        <v>10.64</v>
      </c>
      <c r="BN2828">
        <v>81.599999999999994</v>
      </c>
      <c r="BO2828">
        <v>81.599999999999994</v>
      </c>
      <c r="BQ2828" t="s">
        <v>1224</v>
      </c>
      <c r="BR2828" t="s">
        <v>97</v>
      </c>
      <c r="BS2828" s="3">
        <v>45954</v>
      </c>
      <c r="BT2828" s="4">
        <v>0.38472222222222224</v>
      </c>
      <c r="BU2828" t="s">
        <v>2675</v>
      </c>
      <c r="BV2828" t="s">
        <v>86</v>
      </c>
      <c r="BY2828">
        <v>1200</v>
      </c>
      <c r="CA2828" t="s">
        <v>742</v>
      </c>
      <c r="CC2828" t="s">
        <v>454</v>
      </c>
      <c r="CD2828">
        <v>3610</v>
      </c>
      <c r="CE2828" t="s">
        <v>147</v>
      </c>
      <c r="CF2828" s="3">
        <v>45954</v>
      </c>
      <c r="CI2828">
        <v>1</v>
      </c>
      <c r="CJ2828">
        <v>1</v>
      </c>
      <c r="CK2828">
        <v>21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"080068702199"</f>
        <v>080068702199</v>
      </c>
      <c r="F2829" s="3">
        <v>45953</v>
      </c>
      <c r="G2829">
        <v>202607</v>
      </c>
      <c r="H2829" t="s">
        <v>79</v>
      </c>
      <c r="I2829" t="s">
        <v>80</v>
      </c>
      <c r="J2829" t="s">
        <v>91</v>
      </c>
      <c r="K2829" t="s">
        <v>78</v>
      </c>
      <c r="L2829" t="s">
        <v>453</v>
      </c>
      <c r="M2829" t="s">
        <v>454</v>
      </c>
      <c r="N2829" t="s">
        <v>665</v>
      </c>
      <c r="O2829" t="s">
        <v>82</v>
      </c>
      <c r="P2829" t="str">
        <f>"4170065866                    "</f>
        <v xml:space="preserve">4170065866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22.36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0.9</v>
      </c>
      <c r="BK2829">
        <v>1</v>
      </c>
      <c r="BL2829">
        <v>70.959999999999994</v>
      </c>
      <c r="BM2829">
        <v>10.64</v>
      </c>
      <c r="BN2829">
        <v>81.599999999999994</v>
      </c>
      <c r="BO2829">
        <v>81.599999999999994</v>
      </c>
      <c r="BQ2829" t="s">
        <v>666</v>
      </c>
      <c r="BR2829" t="s">
        <v>97</v>
      </c>
      <c r="BS2829" s="3">
        <v>45954</v>
      </c>
      <c r="BT2829" s="4">
        <v>0.39166666666666666</v>
      </c>
      <c r="BU2829" t="s">
        <v>1562</v>
      </c>
      <c r="BV2829" t="s">
        <v>86</v>
      </c>
      <c r="BY2829">
        <v>4275</v>
      </c>
      <c r="CA2829" t="s">
        <v>742</v>
      </c>
      <c r="CC2829" t="s">
        <v>454</v>
      </c>
      <c r="CD2829">
        <v>3610</v>
      </c>
      <c r="CE2829" t="s">
        <v>191</v>
      </c>
      <c r="CF2829" s="3">
        <v>45954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"080068702212"</f>
        <v>080068702212</v>
      </c>
      <c r="F2830" s="3">
        <v>45953</v>
      </c>
      <c r="G2830">
        <v>202607</v>
      </c>
      <c r="H2830" t="s">
        <v>79</v>
      </c>
      <c r="I2830" t="s">
        <v>80</v>
      </c>
      <c r="J2830" t="s">
        <v>91</v>
      </c>
      <c r="K2830" t="s">
        <v>78</v>
      </c>
      <c r="L2830" t="s">
        <v>92</v>
      </c>
      <c r="M2830" t="s">
        <v>93</v>
      </c>
      <c r="N2830" t="s">
        <v>601</v>
      </c>
      <c r="O2830" t="s">
        <v>82</v>
      </c>
      <c r="P2830" t="str">
        <f>"4170065950                    "</f>
        <v xml:space="preserve">4170065950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22.36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70.959999999999994</v>
      </c>
      <c r="BM2830">
        <v>10.64</v>
      </c>
      <c r="BN2830">
        <v>81.599999999999994</v>
      </c>
      <c r="BO2830">
        <v>81.599999999999994</v>
      </c>
      <c r="BQ2830" t="s">
        <v>602</v>
      </c>
      <c r="BR2830" t="s">
        <v>97</v>
      </c>
      <c r="BS2830" s="3">
        <v>45954</v>
      </c>
      <c r="BT2830" s="4">
        <v>0.4513888888888889</v>
      </c>
      <c r="BU2830" t="s">
        <v>852</v>
      </c>
      <c r="BV2830" t="s">
        <v>86</v>
      </c>
      <c r="BY2830">
        <v>1200</v>
      </c>
      <c r="CC2830" t="s">
        <v>93</v>
      </c>
      <c r="CD2830">
        <v>3212</v>
      </c>
      <c r="CE2830" t="s">
        <v>147</v>
      </c>
      <c r="CF2830" s="3">
        <v>45955</v>
      </c>
      <c r="CI2830">
        <v>2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"080068702230"</f>
        <v>080068702230</v>
      </c>
      <c r="F2831" s="3">
        <v>45953</v>
      </c>
      <c r="G2831">
        <v>202607</v>
      </c>
      <c r="H2831" t="s">
        <v>79</v>
      </c>
      <c r="I2831" t="s">
        <v>80</v>
      </c>
      <c r="J2831" t="s">
        <v>91</v>
      </c>
      <c r="K2831" t="s">
        <v>78</v>
      </c>
      <c r="L2831" t="s">
        <v>79</v>
      </c>
      <c r="M2831" t="s">
        <v>80</v>
      </c>
      <c r="N2831" t="s">
        <v>163</v>
      </c>
      <c r="O2831" t="s">
        <v>226</v>
      </c>
      <c r="P2831" t="str">
        <f>"4170065669                    "</f>
        <v xml:space="preserve">4170065669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17.47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4</v>
      </c>
      <c r="BJ2831">
        <v>2.6</v>
      </c>
      <c r="BK2831">
        <v>4</v>
      </c>
      <c r="BL2831">
        <v>55.44</v>
      </c>
      <c r="BM2831">
        <v>8.32</v>
      </c>
      <c r="BN2831">
        <v>63.76</v>
      </c>
      <c r="BO2831">
        <v>63.76</v>
      </c>
      <c r="BQ2831" t="s">
        <v>164</v>
      </c>
      <c r="BR2831" t="s">
        <v>97</v>
      </c>
      <c r="BS2831" s="3">
        <v>45954</v>
      </c>
      <c r="BT2831" s="4">
        <v>0.3298611111111111</v>
      </c>
      <c r="BU2831" t="s">
        <v>2639</v>
      </c>
      <c r="BV2831" t="s">
        <v>86</v>
      </c>
      <c r="BY2831">
        <v>13224</v>
      </c>
      <c r="CA2831" t="s">
        <v>166</v>
      </c>
      <c r="CC2831" t="s">
        <v>80</v>
      </c>
      <c r="CD2831">
        <v>1600</v>
      </c>
      <c r="CE2831" t="s">
        <v>191</v>
      </c>
      <c r="CF2831" s="3">
        <v>45954</v>
      </c>
      <c r="CI2831">
        <v>1</v>
      </c>
      <c r="CJ2831">
        <v>1</v>
      </c>
      <c r="CK2831">
        <v>32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"080068702237"</f>
        <v>080068702237</v>
      </c>
      <c r="F2832" s="3">
        <v>45953</v>
      </c>
      <c r="G2832">
        <v>202607</v>
      </c>
      <c r="H2832" t="s">
        <v>79</v>
      </c>
      <c r="I2832" t="s">
        <v>80</v>
      </c>
      <c r="J2832" t="s">
        <v>91</v>
      </c>
      <c r="K2832" t="s">
        <v>78</v>
      </c>
      <c r="L2832" t="s">
        <v>206</v>
      </c>
      <c r="M2832" t="s">
        <v>207</v>
      </c>
      <c r="N2832" t="s">
        <v>656</v>
      </c>
      <c r="O2832" t="s">
        <v>82</v>
      </c>
      <c r="P2832" t="str">
        <f>"4170065893                    "</f>
        <v xml:space="preserve">4170065893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22.36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70.959999999999994</v>
      </c>
      <c r="BM2832">
        <v>10.64</v>
      </c>
      <c r="BN2832">
        <v>81.599999999999994</v>
      </c>
      <c r="BO2832">
        <v>81.599999999999994</v>
      </c>
      <c r="BQ2832" t="s">
        <v>657</v>
      </c>
      <c r="BR2832" t="s">
        <v>97</v>
      </c>
      <c r="BS2832" s="3">
        <v>45954</v>
      </c>
      <c r="BT2832" s="4">
        <v>0.39861111111111114</v>
      </c>
      <c r="BU2832" t="s">
        <v>658</v>
      </c>
      <c r="BV2832" t="s">
        <v>86</v>
      </c>
      <c r="BY2832">
        <v>1200</v>
      </c>
      <c r="CA2832" t="s">
        <v>211</v>
      </c>
      <c r="CC2832" t="s">
        <v>207</v>
      </c>
      <c r="CD2832">
        <v>7441</v>
      </c>
      <c r="CE2832" t="s">
        <v>147</v>
      </c>
      <c r="CF2832" s="3">
        <v>45957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"080068702270"</f>
        <v>080068702270</v>
      </c>
      <c r="F2833" s="3">
        <v>45953</v>
      </c>
      <c r="G2833">
        <v>202607</v>
      </c>
      <c r="H2833" t="s">
        <v>79</v>
      </c>
      <c r="I2833" t="s">
        <v>80</v>
      </c>
      <c r="J2833" t="s">
        <v>91</v>
      </c>
      <c r="K2833" t="s">
        <v>78</v>
      </c>
      <c r="L2833" t="s">
        <v>108</v>
      </c>
      <c r="M2833" t="s">
        <v>109</v>
      </c>
      <c r="N2833" t="s">
        <v>291</v>
      </c>
      <c r="O2833" t="s">
        <v>82</v>
      </c>
      <c r="P2833" t="str">
        <f>"4170065720                    "</f>
        <v xml:space="preserve">4170065720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22.36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1.1000000000000001</v>
      </c>
      <c r="BK2833">
        <v>1.5</v>
      </c>
      <c r="BL2833">
        <v>70.959999999999994</v>
      </c>
      <c r="BM2833">
        <v>10.64</v>
      </c>
      <c r="BN2833">
        <v>81.599999999999994</v>
      </c>
      <c r="BO2833">
        <v>81.599999999999994</v>
      </c>
      <c r="BQ2833" t="s">
        <v>292</v>
      </c>
      <c r="BR2833" t="s">
        <v>97</v>
      </c>
      <c r="BS2833" s="3">
        <v>45954</v>
      </c>
      <c r="BT2833" s="4">
        <v>0.37777777777777777</v>
      </c>
      <c r="BU2833" t="s">
        <v>3247</v>
      </c>
      <c r="BV2833" t="s">
        <v>86</v>
      </c>
      <c r="BY2833">
        <v>5510</v>
      </c>
      <c r="CA2833" t="s">
        <v>294</v>
      </c>
      <c r="CC2833" t="s">
        <v>109</v>
      </c>
      <c r="CD2833">
        <v>6001</v>
      </c>
      <c r="CE2833" t="s">
        <v>191</v>
      </c>
      <c r="CF2833" s="3">
        <v>45954</v>
      </c>
      <c r="CI2833">
        <v>1</v>
      </c>
      <c r="CJ2833">
        <v>1</v>
      </c>
      <c r="CK2833">
        <v>21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"080068702465"</f>
        <v>080068702465</v>
      </c>
      <c r="F2834" s="3">
        <v>45953</v>
      </c>
      <c r="G2834">
        <v>202607</v>
      </c>
      <c r="H2834" t="s">
        <v>79</v>
      </c>
      <c r="I2834" t="s">
        <v>80</v>
      </c>
      <c r="J2834" t="s">
        <v>91</v>
      </c>
      <c r="K2834" t="s">
        <v>78</v>
      </c>
      <c r="L2834" t="s">
        <v>206</v>
      </c>
      <c r="M2834" t="s">
        <v>207</v>
      </c>
      <c r="N2834" t="s">
        <v>458</v>
      </c>
      <c r="O2834" t="s">
        <v>82</v>
      </c>
      <c r="P2834" t="str">
        <f>"4170065941                    "</f>
        <v xml:space="preserve">4170065941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22.36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70.959999999999994</v>
      </c>
      <c r="BM2834">
        <v>10.64</v>
      </c>
      <c r="BN2834">
        <v>81.599999999999994</v>
      </c>
      <c r="BO2834">
        <v>81.599999999999994</v>
      </c>
      <c r="BQ2834" t="s">
        <v>459</v>
      </c>
      <c r="BR2834" t="s">
        <v>97</v>
      </c>
      <c r="BS2834" s="3">
        <v>45954</v>
      </c>
      <c r="BT2834" s="4">
        <v>0.42638888888888887</v>
      </c>
      <c r="BU2834" t="s">
        <v>1036</v>
      </c>
      <c r="BV2834" t="s">
        <v>86</v>
      </c>
      <c r="BY2834">
        <v>1200</v>
      </c>
      <c r="CA2834" t="s">
        <v>461</v>
      </c>
      <c r="CC2834" t="s">
        <v>207</v>
      </c>
      <c r="CD2834">
        <v>7530</v>
      </c>
      <c r="CE2834" t="s">
        <v>147</v>
      </c>
      <c r="CF2834" s="3">
        <v>45957</v>
      </c>
      <c r="CI2834">
        <v>1</v>
      </c>
      <c r="CJ2834">
        <v>1</v>
      </c>
      <c r="CK2834">
        <v>21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"080068702489"</f>
        <v>080068702489</v>
      </c>
      <c r="F2835" s="3">
        <v>45953</v>
      </c>
      <c r="G2835">
        <v>202607</v>
      </c>
      <c r="H2835" t="s">
        <v>79</v>
      </c>
      <c r="I2835" t="s">
        <v>80</v>
      </c>
      <c r="J2835" t="s">
        <v>91</v>
      </c>
      <c r="K2835" t="s">
        <v>78</v>
      </c>
      <c r="L2835" t="s">
        <v>92</v>
      </c>
      <c r="M2835" t="s">
        <v>93</v>
      </c>
      <c r="N2835" t="s">
        <v>3212</v>
      </c>
      <c r="O2835" t="s">
        <v>82</v>
      </c>
      <c r="P2835" t="str">
        <f>"4170065850                    "</f>
        <v xml:space="preserve">4170065850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22.36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1.1000000000000001</v>
      </c>
      <c r="BK2835">
        <v>1.5</v>
      </c>
      <c r="BL2835">
        <v>70.959999999999994</v>
      </c>
      <c r="BM2835">
        <v>10.64</v>
      </c>
      <c r="BN2835">
        <v>81.599999999999994</v>
      </c>
      <c r="BO2835">
        <v>81.599999999999994</v>
      </c>
      <c r="BQ2835" t="s">
        <v>3213</v>
      </c>
      <c r="BR2835" t="s">
        <v>97</v>
      </c>
      <c r="BS2835" s="3">
        <v>45954</v>
      </c>
      <c r="BT2835" s="4">
        <v>0.43194444444444446</v>
      </c>
      <c r="BU2835" t="s">
        <v>3214</v>
      </c>
      <c r="BV2835" t="s">
        <v>86</v>
      </c>
      <c r="BY2835">
        <v>5510</v>
      </c>
      <c r="CA2835" t="s">
        <v>1494</v>
      </c>
      <c r="CC2835" t="s">
        <v>93</v>
      </c>
      <c r="CD2835">
        <v>3201</v>
      </c>
      <c r="CE2835" t="s">
        <v>191</v>
      </c>
      <c r="CF2835" s="3">
        <v>45955</v>
      </c>
      <c r="CI2835">
        <v>1</v>
      </c>
      <c r="CJ2835">
        <v>1</v>
      </c>
      <c r="CK2835">
        <v>21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"080068702500"</f>
        <v>080068702500</v>
      </c>
      <c r="F2836" s="3">
        <v>45953</v>
      </c>
      <c r="G2836">
        <v>202607</v>
      </c>
      <c r="H2836" t="s">
        <v>79</v>
      </c>
      <c r="I2836" t="s">
        <v>80</v>
      </c>
      <c r="J2836" t="s">
        <v>91</v>
      </c>
      <c r="K2836" t="s">
        <v>78</v>
      </c>
      <c r="L2836" t="s">
        <v>306</v>
      </c>
      <c r="M2836" t="s">
        <v>307</v>
      </c>
      <c r="N2836" t="s">
        <v>335</v>
      </c>
      <c r="O2836" t="s">
        <v>82</v>
      </c>
      <c r="P2836" t="str">
        <f>"4170065906                    "</f>
        <v xml:space="preserve">4170065906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22.36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70.959999999999994</v>
      </c>
      <c r="BM2836">
        <v>10.64</v>
      </c>
      <c r="BN2836">
        <v>81.599999999999994</v>
      </c>
      <c r="BO2836">
        <v>81.599999999999994</v>
      </c>
      <c r="BQ2836" t="s">
        <v>475</v>
      </c>
      <c r="BR2836" t="s">
        <v>97</v>
      </c>
      <c r="BS2836" s="3">
        <v>45954</v>
      </c>
      <c r="BT2836" s="4">
        <v>0.70208333333333328</v>
      </c>
      <c r="BU2836" t="s">
        <v>1436</v>
      </c>
      <c r="BV2836" t="s">
        <v>90</v>
      </c>
      <c r="BW2836" t="s">
        <v>771</v>
      </c>
      <c r="BX2836" t="s">
        <v>1222</v>
      </c>
      <c r="BY2836">
        <v>1200</v>
      </c>
      <c r="CA2836" t="s">
        <v>157</v>
      </c>
      <c r="CC2836" t="s">
        <v>307</v>
      </c>
      <c r="CD2836">
        <v>4133</v>
      </c>
      <c r="CE2836" t="s">
        <v>147</v>
      </c>
      <c r="CF2836" s="3">
        <v>45954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"080068702530"</f>
        <v>080068702530</v>
      </c>
      <c r="F2837" s="3">
        <v>45953</v>
      </c>
      <c r="G2837">
        <v>202607</v>
      </c>
      <c r="H2837" t="s">
        <v>79</v>
      </c>
      <c r="I2837" t="s">
        <v>80</v>
      </c>
      <c r="J2837" t="s">
        <v>91</v>
      </c>
      <c r="K2837" t="s">
        <v>78</v>
      </c>
      <c r="L2837" t="s">
        <v>168</v>
      </c>
      <c r="M2837" t="s">
        <v>169</v>
      </c>
      <c r="N2837" t="s">
        <v>395</v>
      </c>
      <c r="O2837" t="s">
        <v>82</v>
      </c>
      <c r="P2837" t="str">
        <f>"4170065880                    "</f>
        <v xml:space="preserve">4170065880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22.36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0.7</v>
      </c>
      <c r="BK2837">
        <v>1</v>
      </c>
      <c r="BL2837">
        <v>70.959999999999994</v>
      </c>
      <c r="BM2837">
        <v>10.64</v>
      </c>
      <c r="BN2837">
        <v>81.599999999999994</v>
      </c>
      <c r="BO2837">
        <v>81.599999999999994</v>
      </c>
      <c r="BQ2837" t="s">
        <v>396</v>
      </c>
      <c r="BR2837" t="s">
        <v>97</v>
      </c>
      <c r="BS2837" s="3">
        <v>45954</v>
      </c>
      <c r="BT2837" s="4">
        <v>0.30694444444444446</v>
      </c>
      <c r="BU2837" t="s">
        <v>1757</v>
      </c>
      <c r="BV2837" t="s">
        <v>86</v>
      </c>
      <c r="BY2837">
        <v>3306</v>
      </c>
      <c r="CA2837">
        <v>8303236124087</v>
      </c>
      <c r="CC2837" t="s">
        <v>169</v>
      </c>
      <c r="CD2837" s="5" t="s">
        <v>190</v>
      </c>
      <c r="CE2837" t="s">
        <v>191</v>
      </c>
      <c r="CF2837" s="3">
        <v>45954</v>
      </c>
      <c r="CI2837">
        <v>1</v>
      </c>
      <c r="CJ2837">
        <v>1</v>
      </c>
      <c r="CK2837">
        <v>21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"080068702549"</f>
        <v>080068702549</v>
      </c>
      <c r="F2838" s="3">
        <v>45953</v>
      </c>
      <c r="G2838">
        <v>202607</v>
      </c>
      <c r="H2838" t="s">
        <v>79</v>
      </c>
      <c r="I2838" t="s">
        <v>80</v>
      </c>
      <c r="J2838" t="s">
        <v>91</v>
      </c>
      <c r="K2838" t="s">
        <v>78</v>
      </c>
      <c r="L2838" t="s">
        <v>206</v>
      </c>
      <c r="M2838" t="s">
        <v>207</v>
      </c>
      <c r="N2838" t="s">
        <v>611</v>
      </c>
      <c r="O2838" t="s">
        <v>82</v>
      </c>
      <c r="P2838" t="str">
        <f>"4170065920                    "</f>
        <v xml:space="preserve">4170065920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22.36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70.959999999999994</v>
      </c>
      <c r="BM2838">
        <v>10.64</v>
      </c>
      <c r="BN2838">
        <v>81.599999999999994</v>
      </c>
      <c r="BO2838">
        <v>81.599999999999994</v>
      </c>
      <c r="BQ2838" t="s">
        <v>612</v>
      </c>
      <c r="BR2838" t="s">
        <v>97</v>
      </c>
      <c r="BS2838" s="3">
        <v>45954</v>
      </c>
      <c r="BT2838" s="4">
        <v>0.32430555555555557</v>
      </c>
      <c r="BU2838" t="s">
        <v>3248</v>
      </c>
      <c r="BV2838" t="s">
        <v>86</v>
      </c>
      <c r="BY2838">
        <v>1200</v>
      </c>
      <c r="CA2838" t="s">
        <v>423</v>
      </c>
      <c r="CC2838" t="s">
        <v>207</v>
      </c>
      <c r="CD2838">
        <v>7530</v>
      </c>
      <c r="CE2838" t="s">
        <v>147</v>
      </c>
      <c r="CF2838" s="3">
        <v>45957</v>
      </c>
      <c r="CI2838">
        <v>1</v>
      </c>
      <c r="CJ2838">
        <v>1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"080068702569"</f>
        <v>080068702569</v>
      </c>
      <c r="F2839" s="3">
        <v>45953</v>
      </c>
      <c r="G2839">
        <v>202607</v>
      </c>
      <c r="H2839" t="s">
        <v>79</v>
      </c>
      <c r="I2839" t="s">
        <v>80</v>
      </c>
      <c r="J2839" t="s">
        <v>91</v>
      </c>
      <c r="K2839" t="s">
        <v>78</v>
      </c>
      <c r="L2839" t="s">
        <v>446</v>
      </c>
      <c r="M2839" t="s">
        <v>447</v>
      </c>
      <c r="N2839" t="s">
        <v>448</v>
      </c>
      <c r="O2839" t="s">
        <v>82</v>
      </c>
      <c r="P2839" t="str">
        <f>"4170065637                    "</f>
        <v xml:space="preserve">4170065637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43.31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2</v>
      </c>
      <c r="BJ2839">
        <v>1.1000000000000001</v>
      </c>
      <c r="BK2839">
        <v>2</v>
      </c>
      <c r="BL2839">
        <v>137.47</v>
      </c>
      <c r="BM2839">
        <v>20.62</v>
      </c>
      <c r="BN2839">
        <v>158.09</v>
      </c>
      <c r="BO2839">
        <v>158.09</v>
      </c>
      <c r="BQ2839" t="s">
        <v>449</v>
      </c>
      <c r="BR2839" t="s">
        <v>97</v>
      </c>
      <c r="BS2839" s="3">
        <v>45954</v>
      </c>
      <c r="BT2839" s="4">
        <v>0.48680555555555555</v>
      </c>
      <c r="BU2839" t="s">
        <v>450</v>
      </c>
      <c r="BV2839" t="s">
        <v>86</v>
      </c>
      <c r="BY2839">
        <v>5510</v>
      </c>
      <c r="CA2839" t="s">
        <v>1124</v>
      </c>
      <c r="CC2839" t="s">
        <v>447</v>
      </c>
      <c r="CD2839">
        <v>7130</v>
      </c>
      <c r="CE2839" t="s">
        <v>191</v>
      </c>
      <c r="CF2839" s="3">
        <v>45957</v>
      </c>
      <c r="CI2839">
        <v>1</v>
      </c>
      <c r="CJ2839">
        <v>1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"080068702584"</f>
        <v>080068702584</v>
      </c>
      <c r="F2840" s="3">
        <v>45953</v>
      </c>
      <c r="G2840">
        <v>202607</v>
      </c>
      <c r="H2840" t="s">
        <v>79</v>
      </c>
      <c r="I2840" t="s">
        <v>80</v>
      </c>
      <c r="J2840" t="s">
        <v>91</v>
      </c>
      <c r="K2840" t="s">
        <v>78</v>
      </c>
      <c r="L2840" t="s">
        <v>3249</v>
      </c>
      <c r="M2840" t="s">
        <v>3250</v>
      </c>
      <c r="N2840" t="s">
        <v>3251</v>
      </c>
      <c r="O2840" t="s">
        <v>82</v>
      </c>
      <c r="P2840" t="str">
        <f>"4170065913                    "</f>
        <v xml:space="preserve">4170065913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43.31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137.47</v>
      </c>
      <c r="BM2840">
        <v>20.62</v>
      </c>
      <c r="BN2840">
        <v>158.09</v>
      </c>
      <c r="BO2840">
        <v>158.09</v>
      </c>
      <c r="BQ2840" t="s">
        <v>3252</v>
      </c>
      <c r="BR2840" t="s">
        <v>97</v>
      </c>
      <c r="BS2840" s="3">
        <v>45954</v>
      </c>
      <c r="BT2840" s="4">
        <v>0.54027777777777775</v>
      </c>
      <c r="BU2840" t="s">
        <v>1695</v>
      </c>
      <c r="BV2840" t="s">
        <v>86</v>
      </c>
      <c r="BY2840">
        <v>1200</v>
      </c>
      <c r="CC2840" t="s">
        <v>3250</v>
      </c>
      <c r="CD2840">
        <v>5820</v>
      </c>
      <c r="CE2840" t="s">
        <v>147</v>
      </c>
      <c r="CF2840" s="3">
        <v>45958</v>
      </c>
      <c r="CI2840">
        <v>2</v>
      </c>
      <c r="CJ2840">
        <v>1</v>
      </c>
      <c r="CK2840">
        <v>23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"080068702610"</f>
        <v>080068702610</v>
      </c>
      <c r="F2841" s="3">
        <v>45953</v>
      </c>
      <c r="G2841">
        <v>202607</v>
      </c>
      <c r="H2841" t="s">
        <v>79</v>
      </c>
      <c r="I2841" t="s">
        <v>80</v>
      </c>
      <c r="J2841" t="s">
        <v>91</v>
      </c>
      <c r="K2841" t="s">
        <v>78</v>
      </c>
      <c r="L2841" t="s">
        <v>75</v>
      </c>
      <c r="M2841" t="s">
        <v>76</v>
      </c>
      <c r="N2841" t="s">
        <v>2177</v>
      </c>
      <c r="O2841" t="s">
        <v>82</v>
      </c>
      <c r="P2841" t="str">
        <f>"4170065851                    "</f>
        <v xml:space="preserve">4170065851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17.46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</v>
      </c>
      <c r="BJ2841">
        <v>1.8</v>
      </c>
      <c r="BK2841">
        <v>3</v>
      </c>
      <c r="BL2841">
        <v>55.42</v>
      </c>
      <c r="BM2841">
        <v>8.31</v>
      </c>
      <c r="BN2841">
        <v>63.73</v>
      </c>
      <c r="BO2841">
        <v>63.73</v>
      </c>
      <c r="BQ2841" t="s">
        <v>2178</v>
      </c>
      <c r="BR2841" t="s">
        <v>97</v>
      </c>
      <c r="BS2841" s="3">
        <v>45954</v>
      </c>
      <c r="BT2841" s="4">
        <v>0.42708333333333331</v>
      </c>
      <c r="BU2841" t="s">
        <v>3225</v>
      </c>
      <c r="BV2841" t="s">
        <v>86</v>
      </c>
      <c r="BY2841">
        <v>8816</v>
      </c>
      <c r="CA2841" t="s">
        <v>1149</v>
      </c>
      <c r="CC2841" t="s">
        <v>76</v>
      </c>
      <c r="CD2841">
        <v>2163</v>
      </c>
      <c r="CE2841" t="s">
        <v>191</v>
      </c>
      <c r="CF2841" s="3">
        <v>45955</v>
      </c>
      <c r="CI2841">
        <v>1</v>
      </c>
      <c r="CJ2841">
        <v>1</v>
      </c>
      <c r="CK2841">
        <v>22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"080068702612"</f>
        <v>080068702612</v>
      </c>
      <c r="F2842" s="3">
        <v>45953</v>
      </c>
      <c r="G2842">
        <v>202607</v>
      </c>
      <c r="H2842" t="s">
        <v>79</v>
      </c>
      <c r="I2842" t="s">
        <v>80</v>
      </c>
      <c r="J2842" t="s">
        <v>91</v>
      </c>
      <c r="K2842" t="s">
        <v>78</v>
      </c>
      <c r="L2842" t="s">
        <v>453</v>
      </c>
      <c r="M2842" t="s">
        <v>454</v>
      </c>
      <c r="N2842" t="s">
        <v>1223</v>
      </c>
      <c r="O2842" t="s">
        <v>82</v>
      </c>
      <c r="P2842" t="str">
        <f>"4170065872                    "</f>
        <v xml:space="preserve">4170065872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22.36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70.959999999999994</v>
      </c>
      <c r="BM2842">
        <v>10.64</v>
      </c>
      <c r="BN2842">
        <v>81.599999999999994</v>
      </c>
      <c r="BO2842">
        <v>81.599999999999994</v>
      </c>
      <c r="BQ2842" t="s">
        <v>1224</v>
      </c>
      <c r="BR2842" t="s">
        <v>97</v>
      </c>
      <c r="BS2842" s="3">
        <v>45954</v>
      </c>
      <c r="BT2842" s="4">
        <v>0.38472222222222224</v>
      </c>
      <c r="BU2842" t="s">
        <v>2675</v>
      </c>
      <c r="BV2842" t="s">
        <v>86</v>
      </c>
      <c r="BY2842">
        <v>1200</v>
      </c>
      <c r="CA2842" t="s">
        <v>742</v>
      </c>
      <c r="CC2842" t="s">
        <v>454</v>
      </c>
      <c r="CD2842">
        <v>3610</v>
      </c>
      <c r="CE2842" t="s">
        <v>147</v>
      </c>
      <c r="CF2842" s="3">
        <v>45954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"080068702634"</f>
        <v>080068702634</v>
      </c>
      <c r="F2843" s="3">
        <v>45953</v>
      </c>
      <c r="G2843">
        <v>202607</v>
      </c>
      <c r="H2843" t="s">
        <v>79</v>
      </c>
      <c r="I2843" t="s">
        <v>80</v>
      </c>
      <c r="J2843" t="s">
        <v>91</v>
      </c>
      <c r="K2843" t="s">
        <v>78</v>
      </c>
      <c r="L2843" t="s">
        <v>114</v>
      </c>
      <c r="M2843" t="s">
        <v>115</v>
      </c>
      <c r="N2843" t="s">
        <v>881</v>
      </c>
      <c r="O2843" t="s">
        <v>82</v>
      </c>
      <c r="P2843" t="str">
        <f>"4170065891                    "</f>
        <v xml:space="preserve">4170065891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33.520000000000003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3</v>
      </c>
      <c r="BJ2843">
        <v>2</v>
      </c>
      <c r="BK2843">
        <v>3</v>
      </c>
      <c r="BL2843">
        <v>106.4</v>
      </c>
      <c r="BM2843">
        <v>15.96</v>
      </c>
      <c r="BN2843">
        <v>122.36</v>
      </c>
      <c r="BO2843">
        <v>122.36</v>
      </c>
      <c r="BQ2843" t="s">
        <v>882</v>
      </c>
      <c r="BR2843" t="s">
        <v>97</v>
      </c>
      <c r="BS2843" s="3">
        <v>45954</v>
      </c>
      <c r="BT2843" s="4">
        <v>0.48472222222222222</v>
      </c>
      <c r="BU2843" t="s">
        <v>2945</v>
      </c>
      <c r="BV2843" t="s">
        <v>90</v>
      </c>
      <c r="BY2843">
        <v>10080</v>
      </c>
      <c r="CA2843" t="s">
        <v>749</v>
      </c>
      <c r="CC2843" t="s">
        <v>115</v>
      </c>
      <c r="CD2843">
        <v>5201</v>
      </c>
      <c r="CE2843" t="s">
        <v>107</v>
      </c>
      <c r="CF2843" s="3">
        <v>45956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"080068702712"</f>
        <v>080068702712</v>
      </c>
      <c r="F2844" s="3">
        <v>45953</v>
      </c>
      <c r="G2844">
        <v>202607</v>
      </c>
      <c r="H2844" t="s">
        <v>79</v>
      </c>
      <c r="I2844" t="s">
        <v>80</v>
      </c>
      <c r="J2844" t="s">
        <v>91</v>
      </c>
      <c r="K2844" t="s">
        <v>78</v>
      </c>
      <c r="L2844" t="s">
        <v>108</v>
      </c>
      <c r="M2844" t="s">
        <v>109</v>
      </c>
      <c r="N2844" t="s">
        <v>548</v>
      </c>
      <c r="O2844" t="s">
        <v>82</v>
      </c>
      <c r="P2844" t="str">
        <f>"4170065907                    "</f>
        <v xml:space="preserve">4170065907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22.36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70.959999999999994</v>
      </c>
      <c r="BM2844">
        <v>10.64</v>
      </c>
      <c r="BN2844">
        <v>81.599999999999994</v>
      </c>
      <c r="BO2844">
        <v>81.599999999999994</v>
      </c>
      <c r="BQ2844" t="s">
        <v>549</v>
      </c>
      <c r="BR2844" t="s">
        <v>97</v>
      </c>
      <c r="BS2844" s="3">
        <v>45954</v>
      </c>
      <c r="BT2844" s="4">
        <v>0.3611111111111111</v>
      </c>
      <c r="BU2844" t="s">
        <v>1470</v>
      </c>
      <c r="BV2844" t="s">
        <v>86</v>
      </c>
      <c r="BY2844">
        <v>1200</v>
      </c>
      <c r="CA2844" t="s">
        <v>1090</v>
      </c>
      <c r="CC2844" t="s">
        <v>109</v>
      </c>
      <c r="CD2844">
        <v>6001</v>
      </c>
      <c r="CE2844" t="s">
        <v>147</v>
      </c>
      <c r="CF2844" s="3">
        <v>45954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"080068702731"</f>
        <v>080068702731</v>
      </c>
      <c r="F2845" s="3">
        <v>45953</v>
      </c>
      <c r="G2845">
        <v>202607</v>
      </c>
      <c r="H2845" t="s">
        <v>79</v>
      </c>
      <c r="I2845" t="s">
        <v>80</v>
      </c>
      <c r="J2845" t="s">
        <v>91</v>
      </c>
      <c r="K2845" t="s">
        <v>78</v>
      </c>
      <c r="L2845" t="s">
        <v>206</v>
      </c>
      <c r="M2845" t="s">
        <v>207</v>
      </c>
      <c r="N2845" t="s">
        <v>1286</v>
      </c>
      <c r="O2845" t="s">
        <v>82</v>
      </c>
      <c r="P2845" t="str">
        <f>"4170065901                    "</f>
        <v xml:space="preserve">4170065901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22.36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70.959999999999994</v>
      </c>
      <c r="BM2845">
        <v>10.64</v>
      </c>
      <c r="BN2845">
        <v>81.599999999999994</v>
      </c>
      <c r="BO2845">
        <v>81.599999999999994</v>
      </c>
      <c r="BQ2845" t="s">
        <v>1287</v>
      </c>
      <c r="BR2845" t="s">
        <v>97</v>
      </c>
      <c r="BS2845" s="3">
        <v>45954</v>
      </c>
      <c r="BT2845" s="4">
        <v>0.41666666666666669</v>
      </c>
      <c r="BU2845" t="s">
        <v>2859</v>
      </c>
      <c r="BV2845" t="s">
        <v>86</v>
      </c>
      <c r="BY2845">
        <v>1200</v>
      </c>
      <c r="CA2845" t="s">
        <v>461</v>
      </c>
      <c r="CC2845" t="s">
        <v>207</v>
      </c>
      <c r="CD2845">
        <v>7530</v>
      </c>
      <c r="CE2845" t="s">
        <v>147</v>
      </c>
      <c r="CF2845" s="3">
        <v>45957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"080068702736"</f>
        <v>080068702736</v>
      </c>
      <c r="F2846" s="3">
        <v>45953</v>
      </c>
      <c r="G2846">
        <v>202607</v>
      </c>
      <c r="H2846" t="s">
        <v>79</v>
      </c>
      <c r="I2846" t="s">
        <v>80</v>
      </c>
      <c r="J2846" t="s">
        <v>91</v>
      </c>
      <c r="K2846" t="s">
        <v>78</v>
      </c>
      <c r="L2846" t="s">
        <v>605</v>
      </c>
      <c r="M2846" t="s">
        <v>606</v>
      </c>
      <c r="N2846" t="s">
        <v>607</v>
      </c>
      <c r="O2846" t="s">
        <v>95</v>
      </c>
      <c r="P2846" t="str">
        <f>"4170065881                    "</f>
        <v xml:space="preserve">4170065881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60.97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5</v>
      </c>
      <c r="BJ2846">
        <v>1.9</v>
      </c>
      <c r="BK2846">
        <v>5</v>
      </c>
      <c r="BL2846">
        <v>199.39</v>
      </c>
      <c r="BM2846">
        <v>29.91</v>
      </c>
      <c r="BN2846">
        <v>229.3</v>
      </c>
      <c r="BO2846">
        <v>229.3</v>
      </c>
      <c r="BQ2846" t="s">
        <v>608</v>
      </c>
      <c r="BR2846" t="s">
        <v>97</v>
      </c>
      <c r="BS2846" s="3">
        <v>45954</v>
      </c>
      <c r="BT2846" s="4">
        <v>0.37430555555555556</v>
      </c>
      <c r="BU2846" t="s">
        <v>609</v>
      </c>
      <c r="BV2846" t="s">
        <v>86</v>
      </c>
      <c r="BY2846">
        <v>9632</v>
      </c>
      <c r="CA2846" t="s">
        <v>610</v>
      </c>
      <c r="CC2846" t="s">
        <v>606</v>
      </c>
      <c r="CD2846">
        <v>1947</v>
      </c>
      <c r="CE2846" t="s">
        <v>1319</v>
      </c>
      <c r="CF2846" s="3">
        <v>45954</v>
      </c>
      <c r="CI2846">
        <v>1</v>
      </c>
      <c r="CJ2846">
        <v>1</v>
      </c>
      <c r="CK2846">
        <v>43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"080068702738"</f>
        <v>080068702738</v>
      </c>
      <c r="F2847" s="3">
        <v>45953</v>
      </c>
      <c r="G2847">
        <v>202607</v>
      </c>
      <c r="H2847" t="s">
        <v>79</v>
      </c>
      <c r="I2847" t="s">
        <v>80</v>
      </c>
      <c r="J2847" t="s">
        <v>91</v>
      </c>
      <c r="K2847" t="s">
        <v>78</v>
      </c>
      <c r="L2847" t="s">
        <v>108</v>
      </c>
      <c r="M2847" t="s">
        <v>109</v>
      </c>
      <c r="N2847" t="s">
        <v>1203</v>
      </c>
      <c r="O2847" t="s">
        <v>82</v>
      </c>
      <c r="P2847" t="str">
        <f>"4170065435                    "</f>
        <v xml:space="preserve">4170065435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22.36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70.959999999999994</v>
      </c>
      <c r="BM2847">
        <v>10.64</v>
      </c>
      <c r="BN2847">
        <v>81.599999999999994</v>
      </c>
      <c r="BO2847">
        <v>81.599999999999994</v>
      </c>
      <c r="BQ2847" t="s">
        <v>1204</v>
      </c>
      <c r="BR2847" t="s">
        <v>97</v>
      </c>
      <c r="BS2847" s="3">
        <v>45954</v>
      </c>
      <c r="BT2847" s="4">
        <v>0.39305555555555555</v>
      </c>
      <c r="BU2847" t="s">
        <v>3216</v>
      </c>
      <c r="BV2847" t="s">
        <v>86</v>
      </c>
      <c r="BY2847">
        <v>1200</v>
      </c>
      <c r="CA2847" t="s">
        <v>1090</v>
      </c>
      <c r="CC2847" t="s">
        <v>109</v>
      </c>
      <c r="CD2847">
        <v>6012</v>
      </c>
      <c r="CE2847" t="s">
        <v>147</v>
      </c>
      <c r="CF2847" s="3">
        <v>45954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"080068702754"</f>
        <v>080068702754</v>
      </c>
      <c r="F2848" s="3">
        <v>45953</v>
      </c>
      <c r="G2848">
        <v>202607</v>
      </c>
      <c r="H2848" t="s">
        <v>79</v>
      </c>
      <c r="I2848" t="s">
        <v>80</v>
      </c>
      <c r="J2848" t="s">
        <v>91</v>
      </c>
      <c r="K2848" t="s">
        <v>78</v>
      </c>
      <c r="L2848" t="s">
        <v>168</v>
      </c>
      <c r="M2848" t="s">
        <v>169</v>
      </c>
      <c r="N2848" t="s">
        <v>873</v>
      </c>
      <c r="O2848" t="s">
        <v>82</v>
      </c>
      <c r="P2848" t="str">
        <f>"4170065644                    "</f>
        <v xml:space="preserve">4170065644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22.36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70.959999999999994</v>
      </c>
      <c r="BM2848">
        <v>10.64</v>
      </c>
      <c r="BN2848">
        <v>81.599999999999994</v>
      </c>
      <c r="BO2848">
        <v>81.599999999999994</v>
      </c>
      <c r="BQ2848" t="s">
        <v>874</v>
      </c>
      <c r="BR2848" t="s">
        <v>97</v>
      </c>
      <c r="BS2848" s="3">
        <v>45954</v>
      </c>
      <c r="BT2848" s="4">
        <v>0.4777777777777778</v>
      </c>
      <c r="BU2848" t="s">
        <v>1723</v>
      </c>
      <c r="BV2848" t="s">
        <v>86</v>
      </c>
      <c r="BY2848">
        <v>1200</v>
      </c>
      <c r="CA2848" s="5" t="s">
        <v>2424</v>
      </c>
      <c r="CC2848" t="s">
        <v>169</v>
      </c>
      <c r="CD2848" s="5" t="s">
        <v>877</v>
      </c>
      <c r="CE2848" t="s">
        <v>147</v>
      </c>
      <c r="CF2848" s="3">
        <v>45954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"080068702757"</f>
        <v>080068702757</v>
      </c>
      <c r="F2849" s="3">
        <v>45953</v>
      </c>
      <c r="G2849">
        <v>202607</v>
      </c>
      <c r="H2849" t="s">
        <v>79</v>
      </c>
      <c r="I2849" t="s">
        <v>80</v>
      </c>
      <c r="J2849" t="s">
        <v>91</v>
      </c>
      <c r="K2849" t="s">
        <v>78</v>
      </c>
      <c r="L2849" t="s">
        <v>206</v>
      </c>
      <c r="M2849" t="s">
        <v>207</v>
      </c>
      <c r="N2849" t="s">
        <v>656</v>
      </c>
      <c r="O2849" t="s">
        <v>82</v>
      </c>
      <c r="P2849" t="str">
        <f>"4170065674                    "</f>
        <v xml:space="preserve">4170065674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22.36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70.959999999999994</v>
      </c>
      <c r="BM2849">
        <v>10.64</v>
      </c>
      <c r="BN2849">
        <v>81.599999999999994</v>
      </c>
      <c r="BO2849">
        <v>81.599999999999994</v>
      </c>
      <c r="BQ2849" t="s">
        <v>657</v>
      </c>
      <c r="BR2849" t="s">
        <v>97</v>
      </c>
      <c r="BS2849" s="3">
        <v>45954</v>
      </c>
      <c r="BT2849" s="4">
        <v>0.39861111111111114</v>
      </c>
      <c r="BU2849" t="s">
        <v>658</v>
      </c>
      <c r="BV2849" t="s">
        <v>86</v>
      </c>
      <c r="BY2849">
        <v>1200</v>
      </c>
      <c r="CA2849" t="s">
        <v>211</v>
      </c>
      <c r="CC2849" t="s">
        <v>207</v>
      </c>
      <c r="CD2849">
        <v>7441</v>
      </c>
      <c r="CE2849" t="s">
        <v>147</v>
      </c>
      <c r="CF2849" s="3">
        <v>45957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"080068702770"</f>
        <v>080068702770</v>
      </c>
      <c r="F2850" s="3">
        <v>45953</v>
      </c>
      <c r="G2850">
        <v>202607</v>
      </c>
      <c r="H2850" t="s">
        <v>79</v>
      </c>
      <c r="I2850" t="s">
        <v>80</v>
      </c>
      <c r="J2850" t="s">
        <v>91</v>
      </c>
      <c r="K2850" t="s">
        <v>78</v>
      </c>
      <c r="L2850" t="s">
        <v>79</v>
      </c>
      <c r="M2850" t="s">
        <v>80</v>
      </c>
      <c r="N2850" t="s">
        <v>3063</v>
      </c>
      <c r="O2850" t="s">
        <v>82</v>
      </c>
      <c r="P2850" t="str">
        <f>"4170065719                    "</f>
        <v xml:space="preserve">4170065719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17.46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55.42</v>
      </c>
      <c r="BM2850">
        <v>8.31</v>
      </c>
      <c r="BN2850">
        <v>63.73</v>
      </c>
      <c r="BO2850">
        <v>63.73</v>
      </c>
      <c r="BQ2850" t="s">
        <v>3064</v>
      </c>
      <c r="BR2850" t="s">
        <v>97</v>
      </c>
      <c r="BS2850" s="3">
        <v>45954</v>
      </c>
      <c r="BT2850" s="4">
        <v>0.37013888888888891</v>
      </c>
      <c r="BU2850" t="s">
        <v>2651</v>
      </c>
      <c r="BV2850" t="s">
        <v>86</v>
      </c>
      <c r="BY2850">
        <v>1200</v>
      </c>
      <c r="CA2850" t="s">
        <v>419</v>
      </c>
      <c r="CC2850" t="s">
        <v>80</v>
      </c>
      <c r="CD2850">
        <v>1665</v>
      </c>
      <c r="CE2850" t="s">
        <v>147</v>
      </c>
      <c r="CF2850" s="3">
        <v>45955</v>
      </c>
      <c r="CI2850">
        <v>1</v>
      </c>
      <c r="CJ2850">
        <v>1</v>
      </c>
      <c r="CK2850">
        <v>22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"080068702791"</f>
        <v>080068702791</v>
      </c>
      <c r="F2851" s="3">
        <v>45953</v>
      </c>
      <c r="G2851">
        <v>202607</v>
      </c>
      <c r="H2851" t="s">
        <v>79</v>
      </c>
      <c r="I2851" t="s">
        <v>80</v>
      </c>
      <c r="J2851" t="s">
        <v>91</v>
      </c>
      <c r="K2851" t="s">
        <v>78</v>
      </c>
      <c r="L2851" t="s">
        <v>453</v>
      </c>
      <c r="M2851" t="s">
        <v>454</v>
      </c>
      <c r="N2851" t="s">
        <v>581</v>
      </c>
      <c r="O2851" t="s">
        <v>82</v>
      </c>
      <c r="P2851" t="str">
        <f>"4170065642                    "</f>
        <v xml:space="preserve">4170065642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22.36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1.1000000000000001</v>
      </c>
      <c r="BK2851">
        <v>2</v>
      </c>
      <c r="BL2851">
        <v>70.959999999999994</v>
      </c>
      <c r="BM2851">
        <v>10.64</v>
      </c>
      <c r="BN2851">
        <v>81.599999999999994</v>
      </c>
      <c r="BO2851">
        <v>81.599999999999994</v>
      </c>
      <c r="BQ2851" t="s">
        <v>582</v>
      </c>
      <c r="BR2851" t="s">
        <v>97</v>
      </c>
      <c r="BS2851" s="3">
        <v>45954</v>
      </c>
      <c r="BT2851" s="4">
        <v>0.39166666666666666</v>
      </c>
      <c r="BU2851" t="s">
        <v>583</v>
      </c>
      <c r="BV2851" t="s">
        <v>86</v>
      </c>
      <c r="BY2851">
        <v>5510</v>
      </c>
      <c r="CA2851" t="s">
        <v>742</v>
      </c>
      <c r="CC2851" t="s">
        <v>454</v>
      </c>
      <c r="CD2851">
        <v>3610</v>
      </c>
      <c r="CE2851" t="s">
        <v>191</v>
      </c>
      <c r="CF2851" s="3">
        <v>45954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"080068702912"</f>
        <v>080068702912</v>
      </c>
      <c r="F2852" s="3">
        <v>45953</v>
      </c>
      <c r="G2852">
        <v>202607</v>
      </c>
      <c r="H2852" t="s">
        <v>79</v>
      </c>
      <c r="I2852" t="s">
        <v>80</v>
      </c>
      <c r="J2852" t="s">
        <v>91</v>
      </c>
      <c r="K2852" t="s">
        <v>78</v>
      </c>
      <c r="L2852" t="s">
        <v>1095</v>
      </c>
      <c r="M2852" t="s">
        <v>1096</v>
      </c>
      <c r="N2852" t="s">
        <v>1197</v>
      </c>
      <c r="O2852" t="s">
        <v>82</v>
      </c>
      <c r="P2852" t="str">
        <f>"4170065700                    "</f>
        <v xml:space="preserve">4170065700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43.31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137.47</v>
      </c>
      <c r="BM2852">
        <v>20.62</v>
      </c>
      <c r="BN2852">
        <v>158.09</v>
      </c>
      <c r="BO2852">
        <v>158.09</v>
      </c>
      <c r="BQ2852" t="s">
        <v>1198</v>
      </c>
      <c r="BR2852" t="s">
        <v>97</v>
      </c>
      <c r="BS2852" s="3">
        <v>45954</v>
      </c>
      <c r="BT2852" s="4">
        <v>0.53749999999999998</v>
      </c>
      <c r="BU2852" t="s">
        <v>3253</v>
      </c>
      <c r="BV2852" t="s">
        <v>90</v>
      </c>
      <c r="BY2852">
        <v>1200</v>
      </c>
      <c r="CA2852" t="s">
        <v>3076</v>
      </c>
      <c r="CC2852" t="s">
        <v>1096</v>
      </c>
      <c r="CD2852">
        <v>2302</v>
      </c>
      <c r="CE2852" t="s">
        <v>147</v>
      </c>
      <c r="CF2852" s="3">
        <v>45954</v>
      </c>
      <c r="CI2852">
        <v>1</v>
      </c>
      <c r="CJ2852">
        <v>1</v>
      </c>
      <c r="CK2852">
        <v>23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"080068702923"</f>
        <v>080068702923</v>
      </c>
      <c r="F2853" s="3">
        <v>45953</v>
      </c>
      <c r="G2853">
        <v>202607</v>
      </c>
      <c r="H2853" t="s">
        <v>79</v>
      </c>
      <c r="I2853" t="s">
        <v>80</v>
      </c>
      <c r="J2853" t="s">
        <v>91</v>
      </c>
      <c r="K2853" t="s">
        <v>78</v>
      </c>
      <c r="L2853" t="s">
        <v>206</v>
      </c>
      <c r="M2853" t="s">
        <v>207</v>
      </c>
      <c r="N2853" t="s">
        <v>1646</v>
      </c>
      <c r="O2853" t="s">
        <v>82</v>
      </c>
      <c r="P2853" t="str">
        <f>"4170065935                    "</f>
        <v xml:space="preserve">4170065935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22.36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70.959999999999994</v>
      </c>
      <c r="BM2853">
        <v>10.64</v>
      </c>
      <c r="BN2853">
        <v>81.599999999999994</v>
      </c>
      <c r="BO2853">
        <v>81.599999999999994</v>
      </c>
      <c r="BQ2853" t="s">
        <v>1647</v>
      </c>
      <c r="BR2853" t="s">
        <v>97</v>
      </c>
      <c r="BS2853" s="3">
        <v>45957</v>
      </c>
      <c r="BT2853" s="4">
        <v>0.625</v>
      </c>
      <c r="BU2853" t="s">
        <v>2042</v>
      </c>
      <c r="BV2853" t="s">
        <v>90</v>
      </c>
      <c r="BW2853" t="s">
        <v>347</v>
      </c>
      <c r="BX2853" t="s">
        <v>677</v>
      </c>
      <c r="BY2853">
        <v>1200</v>
      </c>
      <c r="CA2853" t="s">
        <v>1650</v>
      </c>
      <c r="CC2853" t="s">
        <v>207</v>
      </c>
      <c r="CD2853">
        <v>7550</v>
      </c>
      <c r="CE2853" t="s">
        <v>147</v>
      </c>
      <c r="CF2853" s="3">
        <v>45958</v>
      </c>
      <c r="CI2853">
        <v>1</v>
      </c>
      <c r="CJ2853">
        <v>2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"080068702946"</f>
        <v>080068702946</v>
      </c>
      <c r="F2854" s="3">
        <v>45953</v>
      </c>
      <c r="G2854">
        <v>202607</v>
      </c>
      <c r="H2854" t="s">
        <v>79</v>
      </c>
      <c r="I2854" t="s">
        <v>80</v>
      </c>
      <c r="J2854" t="s">
        <v>91</v>
      </c>
      <c r="K2854" t="s">
        <v>78</v>
      </c>
      <c r="L2854" t="s">
        <v>206</v>
      </c>
      <c r="M2854" t="s">
        <v>207</v>
      </c>
      <c r="N2854" t="s">
        <v>1951</v>
      </c>
      <c r="O2854" t="s">
        <v>82</v>
      </c>
      <c r="P2854" t="str">
        <f>"4170065912                    "</f>
        <v xml:space="preserve">4170065912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22.36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70.959999999999994</v>
      </c>
      <c r="BM2854">
        <v>10.64</v>
      </c>
      <c r="BN2854">
        <v>81.599999999999994</v>
      </c>
      <c r="BO2854">
        <v>81.599999999999994</v>
      </c>
      <c r="BQ2854" t="s">
        <v>1952</v>
      </c>
      <c r="BR2854" t="s">
        <v>97</v>
      </c>
      <c r="BS2854" s="3">
        <v>45954</v>
      </c>
      <c r="BT2854" s="4">
        <v>0.40347222222222223</v>
      </c>
      <c r="BU2854" t="s">
        <v>3254</v>
      </c>
      <c r="BV2854" t="s">
        <v>86</v>
      </c>
      <c r="BY2854">
        <v>1200</v>
      </c>
      <c r="CA2854" t="s">
        <v>211</v>
      </c>
      <c r="CC2854" t="s">
        <v>207</v>
      </c>
      <c r="CD2854">
        <v>7441</v>
      </c>
      <c r="CE2854" t="s">
        <v>147</v>
      </c>
      <c r="CF2854" s="3">
        <v>45957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"080068703034"</f>
        <v>080068703034</v>
      </c>
      <c r="F2855" s="3">
        <v>45953</v>
      </c>
      <c r="G2855">
        <v>202607</v>
      </c>
      <c r="H2855" t="s">
        <v>79</v>
      </c>
      <c r="I2855" t="s">
        <v>80</v>
      </c>
      <c r="J2855" t="s">
        <v>91</v>
      </c>
      <c r="K2855" t="s">
        <v>78</v>
      </c>
      <c r="L2855" t="s">
        <v>1748</v>
      </c>
      <c r="M2855" t="s">
        <v>1749</v>
      </c>
      <c r="N2855" t="s">
        <v>1750</v>
      </c>
      <c r="O2855" t="s">
        <v>95</v>
      </c>
      <c r="P2855" t="str">
        <f>"4170065915                    "</f>
        <v xml:space="preserve">4170065915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123.26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2</v>
      </c>
      <c r="BI2855">
        <v>26</v>
      </c>
      <c r="BJ2855">
        <v>34.6</v>
      </c>
      <c r="BK2855">
        <v>35</v>
      </c>
      <c r="BL2855">
        <v>397.08</v>
      </c>
      <c r="BM2855">
        <v>59.56</v>
      </c>
      <c r="BN2855">
        <v>456.64</v>
      </c>
      <c r="BO2855">
        <v>456.64</v>
      </c>
      <c r="BQ2855" t="s">
        <v>1751</v>
      </c>
      <c r="BR2855" t="s">
        <v>97</v>
      </c>
      <c r="BS2855" s="3">
        <v>45957</v>
      </c>
      <c r="BT2855" s="4">
        <v>0.36388888888888887</v>
      </c>
      <c r="BU2855" t="s">
        <v>3255</v>
      </c>
      <c r="BV2855" t="s">
        <v>86</v>
      </c>
      <c r="BY2855">
        <v>86400</v>
      </c>
      <c r="CA2855" t="s">
        <v>3256</v>
      </c>
      <c r="CC2855" t="s">
        <v>1749</v>
      </c>
      <c r="CD2855">
        <v>7110</v>
      </c>
      <c r="CE2855" t="s">
        <v>1088</v>
      </c>
      <c r="CF2855" s="3">
        <v>45958</v>
      </c>
      <c r="CI2855">
        <v>3</v>
      </c>
      <c r="CJ2855">
        <v>2</v>
      </c>
      <c r="CK2855">
        <v>43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"080068703038"</f>
        <v>080068703038</v>
      </c>
      <c r="F2856" s="3">
        <v>45953</v>
      </c>
      <c r="G2856">
        <v>202607</v>
      </c>
      <c r="H2856" t="s">
        <v>79</v>
      </c>
      <c r="I2856" t="s">
        <v>80</v>
      </c>
      <c r="J2856" t="s">
        <v>91</v>
      </c>
      <c r="K2856" t="s">
        <v>78</v>
      </c>
      <c r="L2856" t="s">
        <v>1586</v>
      </c>
      <c r="M2856" t="s">
        <v>1587</v>
      </c>
      <c r="N2856" t="s">
        <v>2753</v>
      </c>
      <c r="O2856" t="s">
        <v>82</v>
      </c>
      <c r="P2856" t="str">
        <f>"4170065798                    "</f>
        <v xml:space="preserve">4170065798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22.36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70.959999999999994</v>
      </c>
      <c r="BM2856">
        <v>10.64</v>
      </c>
      <c r="BN2856">
        <v>81.599999999999994</v>
      </c>
      <c r="BO2856">
        <v>81.599999999999994</v>
      </c>
      <c r="BQ2856" t="s">
        <v>2754</v>
      </c>
      <c r="BR2856" t="s">
        <v>97</v>
      </c>
      <c r="BS2856" s="3">
        <v>45954</v>
      </c>
      <c r="BT2856" s="4">
        <v>0.66319444444444442</v>
      </c>
      <c r="BU2856" t="s">
        <v>3257</v>
      </c>
      <c r="BV2856" t="s">
        <v>90</v>
      </c>
      <c r="BY2856">
        <v>1200</v>
      </c>
      <c r="CA2856" t="s">
        <v>1996</v>
      </c>
      <c r="CC2856" t="s">
        <v>1587</v>
      </c>
      <c r="CD2856">
        <v>4300</v>
      </c>
      <c r="CE2856" t="s">
        <v>147</v>
      </c>
      <c r="CF2856" s="3">
        <v>45954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"080068703052"</f>
        <v>080068703052</v>
      </c>
      <c r="F2857" s="3">
        <v>45953</v>
      </c>
      <c r="G2857">
        <v>202607</v>
      </c>
      <c r="H2857" t="s">
        <v>79</v>
      </c>
      <c r="I2857" t="s">
        <v>80</v>
      </c>
      <c r="J2857" t="s">
        <v>91</v>
      </c>
      <c r="K2857" t="s">
        <v>78</v>
      </c>
      <c r="L2857" t="s">
        <v>108</v>
      </c>
      <c r="M2857" t="s">
        <v>109</v>
      </c>
      <c r="N2857" t="s">
        <v>515</v>
      </c>
      <c r="O2857" t="s">
        <v>82</v>
      </c>
      <c r="P2857" t="str">
        <f>"4170065934                    "</f>
        <v xml:space="preserve">4170065934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22.36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70.959999999999994</v>
      </c>
      <c r="BM2857">
        <v>10.64</v>
      </c>
      <c r="BN2857">
        <v>81.599999999999994</v>
      </c>
      <c r="BO2857">
        <v>81.599999999999994</v>
      </c>
      <c r="BQ2857" t="s">
        <v>516</v>
      </c>
      <c r="BR2857" t="s">
        <v>97</v>
      </c>
      <c r="BS2857" s="3">
        <v>45954</v>
      </c>
      <c r="BT2857" s="4">
        <v>0.5</v>
      </c>
      <c r="BU2857" t="s">
        <v>2672</v>
      </c>
      <c r="BV2857" t="s">
        <v>90</v>
      </c>
      <c r="BY2857">
        <v>1200</v>
      </c>
      <c r="CA2857" t="s">
        <v>762</v>
      </c>
      <c r="CC2857" t="s">
        <v>109</v>
      </c>
      <c r="CD2857">
        <v>6001</v>
      </c>
      <c r="CE2857" t="s">
        <v>147</v>
      </c>
      <c r="CF2857" s="3">
        <v>45954</v>
      </c>
      <c r="CI2857">
        <v>1</v>
      </c>
      <c r="CJ2857">
        <v>1</v>
      </c>
      <c r="CK2857">
        <v>21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"080068703060"</f>
        <v>080068703060</v>
      </c>
      <c r="F2858" s="3">
        <v>45953</v>
      </c>
      <c r="G2858">
        <v>202607</v>
      </c>
      <c r="H2858" t="s">
        <v>79</v>
      </c>
      <c r="I2858" t="s">
        <v>80</v>
      </c>
      <c r="J2858" t="s">
        <v>91</v>
      </c>
      <c r="K2858" t="s">
        <v>78</v>
      </c>
      <c r="L2858" t="s">
        <v>884</v>
      </c>
      <c r="M2858" t="s">
        <v>885</v>
      </c>
      <c r="N2858" t="s">
        <v>886</v>
      </c>
      <c r="O2858" t="s">
        <v>82</v>
      </c>
      <c r="P2858" t="str">
        <f>"4170065894                    "</f>
        <v xml:space="preserve">4170065894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43.31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137.47</v>
      </c>
      <c r="BM2858">
        <v>20.62</v>
      </c>
      <c r="BN2858">
        <v>158.09</v>
      </c>
      <c r="BO2858">
        <v>158.09</v>
      </c>
      <c r="BQ2858" t="s">
        <v>887</v>
      </c>
      <c r="BR2858" t="s">
        <v>97</v>
      </c>
      <c r="BS2858" s="3">
        <v>45954</v>
      </c>
      <c r="BT2858" s="4">
        <v>0.29166666666666669</v>
      </c>
      <c r="BU2858" t="s">
        <v>888</v>
      </c>
      <c r="BV2858" t="s">
        <v>86</v>
      </c>
      <c r="BY2858">
        <v>1200</v>
      </c>
      <c r="CC2858" t="s">
        <v>885</v>
      </c>
      <c r="CD2858">
        <v>2740</v>
      </c>
      <c r="CE2858" t="s">
        <v>147</v>
      </c>
      <c r="CF2858" s="3">
        <v>45957</v>
      </c>
      <c r="CI2858">
        <v>1</v>
      </c>
      <c r="CJ2858">
        <v>1</v>
      </c>
      <c r="CK2858">
        <v>23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"080068703069"</f>
        <v>080068703069</v>
      </c>
      <c r="F2859" s="3">
        <v>45953</v>
      </c>
      <c r="G2859">
        <v>202607</v>
      </c>
      <c r="H2859" t="s">
        <v>79</v>
      </c>
      <c r="I2859" t="s">
        <v>80</v>
      </c>
      <c r="J2859" t="s">
        <v>91</v>
      </c>
      <c r="K2859" t="s">
        <v>78</v>
      </c>
      <c r="L2859" t="s">
        <v>453</v>
      </c>
      <c r="M2859" t="s">
        <v>454</v>
      </c>
      <c r="N2859" t="s">
        <v>665</v>
      </c>
      <c r="O2859" t="s">
        <v>82</v>
      </c>
      <c r="P2859" t="str">
        <f>"4170065663                    "</f>
        <v xml:space="preserve">4170065663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39.11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2</v>
      </c>
      <c r="BJ2859">
        <v>3.4</v>
      </c>
      <c r="BK2859">
        <v>3.5</v>
      </c>
      <c r="BL2859">
        <v>124.13</v>
      </c>
      <c r="BM2859">
        <v>18.62</v>
      </c>
      <c r="BN2859">
        <v>142.75</v>
      </c>
      <c r="BO2859">
        <v>142.75</v>
      </c>
      <c r="BQ2859" t="s">
        <v>666</v>
      </c>
      <c r="BR2859" t="s">
        <v>97</v>
      </c>
      <c r="BS2859" s="3">
        <v>45954</v>
      </c>
      <c r="BT2859" s="4">
        <v>0.39166666666666666</v>
      </c>
      <c r="BU2859" t="s">
        <v>1562</v>
      </c>
      <c r="BV2859" t="s">
        <v>86</v>
      </c>
      <c r="BY2859">
        <v>16965</v>
      </c>
      <c r="CA2859" t="s">
        <v>742</v>
      </c>
      <c r="CC2859" t="s">
        <v>454</v>
      </c>
      <c r="CD2859">
        <v>3610</v>
      </c>
      <c r="CE2859" t="s">
        <v>191</v>
      </c>
      <c r="CF2859" s="3">
        <v>45954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"080068703073"</f>
        <v>080068703073</v>
      </c>
      <c r="F2860" s="3">
        <v>45953</v>
      </c>
      <c r="G2860">
        <v>202607</v>
      </c>
      <c r="H2860" t="s">
        <v>79</v>
      </c>
      <c r="I2860" t="s">
        <v>80</v>
      </c>
      <c r="J2860" t="s">
        <v>91</v>
      </c>
      <c r="K2860" t="s">
        <v>78</v>
      </c>
      <c r="L2860" t="s">
        <v>605</v>
      </c>
      <c r="M2860" t="s">
        <v>606</v>
      </c>
      <c r="N2860" t="s">
        <v>976</v>
      </c>
      <c r="O2860" t="s">
        <v>82</v>
      </c>
      <c r="P2860" t="str">
        <f>"4170065910                    "</f>
        <v xml:space="preserve">4170065910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43.31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137.47</v>
      </c>
      <c r="BM2860">
        <v>20.62</v>
      </c>
      <c r="BN2860">
        <v>158.09</v>
      </c>
      <c r="BO2860">
        <v>158.09</v>
      </c>
      <c r="BQ2860" t="s">
        <v>977</v>
      </c>
      <c r="BR2860" t="s">
        <v>97</v>
      </c>
      <c r="BS2860" s="3">
        <v>45954</v>
      </c>
      <c r="BT2860" s="4">
        <v>0.43402777777777779</v>
      </c>
      <c r="BU2860" t="s">
        <v>3077</v>
      </c>
      <c r="BV2860" t="s">
        <v>86</v>
      </c>
      <c r="BY2860">
        <v>1200</v>
      </c>
      <c r="CA2860" t="s">
        <v>1143</v>
      </c>
      <c r="CC2860" t="s">
        <v>606</v>
      </c>
      <c r="CD2860">
        <v>1947</v>
      </c>
      <c r="CE2860" t="s">
        <v>147</v>
      </c>
      <c r="CF2860" s="3">
        <v>45957</v>
      </c>
      <c r="CI2860">
        <v>1</v>
      </c>
      <c r="CJ2860">
        <v>1</v>
      </c>
      <c r="CK2860">
        <v>23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"080068703081"</f>
        <v>080068703081</v>
      </c>
      <c r="F2861" s="3">
        <v>45953</v>
      </c>
      <c r="G2861">
        <v>202607</v>
      </c>
      <c r="H2861" t="s">
        <v>79</v>
      </c>
      <c r="I2861" t="s">
        <v>80</v>
      </c>
      <c r="J2861" t="s">
        <v>91</v>
      </c>
      <c r="K2861" t="s">
        <v>78</v>
      </c>
      <c r="L2861" t="s">
        <v>271</v>
      </c>
      <c r="M2861" t="s">
        <v>272</v>
      </c>
      <c r="N2861" t="s">
        <v>1030</v>
      </c>
      <c r="O2861" t="s">
        <v>82</v>
      </c>
      <c r="P2861" t="str">
        <f>"4170065947                    "</f>
        <v xml:space="preserve">4170065947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17.46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55.42</v>
      </c>
      <c r="BM2861">
        <v>8.31</v>
      </c>
      <c r="BN2861">
        <v>63.73</v>
      </c>
      <c r="BO2861">
        <v>63.73</v>
      </c>
      <c r="BQ2861" t="s">
        <v>1031</v>
      </c>
      <c r="BR2861" t="s">
        <v>97</v>
      </c>
      <c r="BS2861" s="3">
        <v>45954</v>
      </c>
      <c r="BT2861" s="4">
        <v>0.38819444444444445</v>
      </c>
      <c r="BU2861" t="s">
        <v>3258</v>
      </c>
      <c r="BV2861" t="s">
        <v>86</v>
      </c>
      <c r="BY2861">
        <v>1200</v>
      </c>
      <c r="CA2861" t="s">
        <v>661</v>
      </c>
      <c r="CC2861" t="s">
        <v>272</v>
      </c>
      <c r="CD2861">
        <v>1422</v>
      </c>
      <c r="CE2861" t="s">
        <v>147</v>
      </c>
      <c r="CF2861" s="3">
        <v>45955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"080068703097"</f>
        <v>080068703097</v>
      </c>
      <c r="F2862" s="3">
        <v>45953</v>
      </c>
      <c r="G2862">
        <v>202607</v>
      </c>
      <c r="H2862" t="s">
        <v>79</v>
      </c>
      <c r="I2862" t="s">
        <v>80</v>
      </c>
      <c r="J2862" t="s">
        <v>91</v>
      </c>
      <c r="K2862" t="s">
        <v>78</v>
      </c>
      <c r="L2862" t="s">
        <v>1383</v>
      </c>
      <c r="M2862" t="s">
        <v>1384</v>
      </c>
      <c r="N2862" t="s">
        <v>1385</v>
      </c>
      <c r="O2862" t="s">
        <v>82</v>
      </c>
      <c r="P2862" t="str">
        <f>"4170065752                    "</f>
        <v xml:space="preserve">4170065752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43.31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137.47</v>
      </c>
      <c r="BM2862">
        <v>20.62</v>
      </c>
      <c r="BN2862">
        <v>158.09</v>
      </c>
      <c r="BO2862">
        <v>158.09</v>
      </c>
      <c r="BQ2862" t="s">
        <v>1386</v>
      </c>
      <c r="BR2862" t="s">
        <v>97</v>
      </c>
      <c r="BS2862" s="3">
        <v>45957</v>
      </c>
      <c r="BT2862" s="4">
        <v>0.37152777777777779</v>
      </c>
      <c r="BU2862" t="s">
        <v>3259</v>
      </c>
      <c r="BV2862" t="s">
        <v>86</v>
      </c>
      <c r="BY2862">
        <v>1200</v>
      </c>
      <c r="CC2862" t="s">
        <v>1384</v>
      </c>
      <c r="CD2862">
        <v>4252</v>
      </c>
      <c r="CE2862" t="s">
        <v>147</v>
      </c>
      <c r="CF2862" s="3">
        <v>45957</v>
      </c>
      <c r="CI2862">
        <v>2</v>
      </c>
      <c r="CJ2862">
        <v>2</v>
      </c>
      <c r="CK2862">
        <v>23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"080068703106"</f>
        <v>080068703106</v>
      </c>
      <c r="F2863" s="3">
        <v>45953</v>
      </c>
      <c r="G2863">
        <v>202607</v>
      </c>
      <c r="H2863" t="s">
        <v>79</v>
      </c>
      <c r="I2863" t="s">
        <v>80</v>
      </c>
      <c r="J2863" t="s">
        <v>91</v>
      </c>
      <c r="K2863" t="s">
        <v>78</v>
      </c>
      <c r="L2863" t="s">
        <v>1586</v>
      </c>
      <c r="M2863" t="s">
        <v>1587</v>
      </c>
      <c r="N2863" t="s">
        <v>2753</v>
      </c>
      <c r="O2863" t="s">
        <v>82</v>
      </c>
      <c r="P2863" t="str">
        <f>"4170065799                    "</f>
        <v xml:space="preserve">4170065799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22.36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70.959999999999994</v>
      </c>
      <c r="BM2863">
        <v>10.64</v>
      </c>
      <c r="BN2863">
        <v>81.599999999999994</v>
      </c>
      <c r="BO2863">
        <v>81.599999999999994</v>
      </c>
      <c r="BQ2863" t="s">
        <v>2754</v>
      </c>
      <c r="BR2863" t="s">
        <v>97</v>
      </c>
      <c r="BS2863" s="3">
        <v>45954</v>
      </c>
      <c r="BT2863" s="4">
        <v>0.64583333333333337</v>
      </c>
      <c r="BU2863" t="s">
        <v>3257</v>
      </c>
      <c r="BV2863" t="s">
        <v>90</v>
      </c>
      <c r="BY2863">
        <v>1200</v>
      </c>
      <c r="CA2863" t="s">
        <v>1996</v>
      </c>
      <c r="CC2863" t="s">
        <v>1587</v>
      </c>
      <c r="CD2863">
        <v>4300</v>
      </c>
      <c r="CE2863" t="s">
        <v>147</v>
      </c>
      <c r="CF2863" s="3">
        <v>45954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"080068703119"</f>
        <v>080068703119</v>
      </c>
      <c r="F2864" s="3">
        <v>45953</v>
      </c>
      <c r="G2864">
        <v>202607</v>
      </c>
      <c r="H2864" t="s">
        <v>79</v>
      </c>
      <c r="I2864" t="s">
        <v>80</v>
      </c>
      <c r="J2864" t="s">
        <v>91</v>
      </c>
      <c r="K2864" t="s">
        <v>78</v>
      </c>
      <c r="L2864" t="s">
        <v>206</v>
      </c>
      <c r="M2864" t="s">
        <v>207</v>
      </c>
      <c r="N2864" t="s">
        <v>656</v>
      </c>
      <c r="O2864" t="s">
        <v>82</v>
      </c>
      <c r="P2864" t="str">
        <f>"4170065948                    "</f>
        <v xml:space="preserve">4170065948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22.36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70.959999999999994</v>
      </c>
      <c r="BM2864">
        <v>10.64</v>
      </c>
      <c r="BN2864">
        <v>81.599999999999994</v>
      </c>
      <c r="BO2864">
        <v>81.599999999999994</v>
      </c>
      <c r="BQ2864" t="s">
        <v>657</v>
      </c>
      <c r="BR2864" t="s">
        <v>97</v>
      </c>
      <c r="BS2864" s="3">
        <v>45954</v>
      </c>
      <c r="BT2864" s="4">
        <v>0.39861111111111114</v>
      </c>
      <c r="BU2864" t="s">
        <v>658</v>
      </c>
      <c r="BV2864" t="s">
        <v>86</v>
      </c>
      <c r="BY2864">
        <v>1200</v>
      </c>
      <c r="CA2864" t="s">
        <v>211</v>
      </c>
      <c r="CC2864" t="s">
        <v>207</v>
      </c>
      <c r="CD2864">
        <v>7441</v>
      </c>
      <c r="CE2864" t="s">
        <v>147</v>
      </c>
      <c r="CF2864" s="3">
        <v>45957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"080068703123"</f>
        <v>080068703123</v>
      </c>
      <c r="F2865" s="3">
        <v>45953</v>
      </c>
      <c r="G2865">
        <v>202607</v>
      </c>
      <c r="H2865" t="s">
        <v>79</v>
      </c>
      <c r="I2865" t="s">
        <v>80</v>
      </c>
      <c r="J2865" t="s">
        <v>91</v>
      </c>
      <c r="K2865" t="s">
        <v>78</v>
      </c>
      <c r="L2865" t="s">
        <v>350</v>
      </c>
      <c r="M2865" t="s">
        <v>351</v>
      </c>
      <c r="N2865" t="s">
        <v>2636</v>
      </c>
      <c r="O2865" t="s">
        <v>95</v>
      </c>
      <c r="P2865" t="str">
        <f>"4170065874                    "</f>
        <v xml:space="preserve">4170065874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70.319999999999993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12.8</v>
      </c>
      <c r="BJ2865">
        <v>18</v>
      </c>
      <c r="BK2865">
        <v>18</v>
      </c>
      <c r="BL2865">
        <v>229.05</v>
      </c>
      <c r="BM2865">
        <v>34.36</v>
      </c>
      <c r="BN2865">
        <v>263.41000000000003</v>
      </c>
      <c r="BO2865">
        <v>263.41000000000003</v>
      </c>
      <c r="BQ2865" t="s">
        <v>2637</v>
      </c>
      <c r="BR2865" t="s">
        <v>97</v>
      </c>
      <c r="BS2865" s="3">
        <v>45954</v>
      </c>
      <c r="BT2865" s="4">
        <v>0.42499999999999999</v>
      </c>
      <c r="BU2865" t="s">
        <v>3260</v>
      </c>
      <c r="BV2865" t="s">
        <v>86</v>
      </c>
      <c r="BY2865">
        <v>90132</v>
      </c>
      <c r="CA2865" t="s">
        <v>2097</v>
      </c>
      <c r="CC2865" t="s">
        <v>351</v>
      </c>
      <c r="CD2865" s="5" t="s">
        <v>356</v>
      </c>
      <c r="CE2865" t="s">
        <v>191</v>
      </c>
      <c r="CF2865" s="3">
        <v>45957</v>
      </c>
      <c r="CI2865">
        <v>1</v>
      </c>
      <c r="CJ2865">
        <v>1</v>
      </c>
      <c r="CK2865">
        <v>43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"080068703146"</f>
        <v>080068703146</v>
      </c>
      <c r="F2866" s="3">
        <v>45953</v>
      </c>
      <c r="G2866">
        <v>202607</v>
      </c>
      <c r="H2866" t="s">
        <v>79</v>
      </c>
      <c r="I2866" t="s">
        <v>80</v>
      </c>
      <c r="J2866" t="s">
        <v>91</v>
      </c>
      <c r="K2866" t="s">
        <v>78</v>
      </c>
      <c r="L2866" t="s">
        <v>168</v>
      </c>
      <c r="M2866" t="s">
        <v>169</v>
      </c>
      <c r="N2866" t="s">
        <v>1105</v>
      </c>
      <c r="O2866" t="s">
        <v>82</v>
      </c>
      <c r="P2866" t="str">
        <f>"4170065932                    "</f>
        <v xml:space="preserve">4170065932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22.36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70.959999999999994</v>
      </c>
      <c r="BM2866">
        <v>10.64</v>
      </c>
      <c r="BN2866">
        <v>81.599999999999994</v>
      </c>
      <c r="BO2866">
        <v>81.599999999999994</v>
      </c>
      <c r="BQ2866" t="s">
        <v>1106</v>
      </c>
      <c r="BR2866" t="s">
        <v>97</v>
      </c>
      <c r="BS2866" s="3">
        <v>45954</v>
      </c>
      <c r="BT2866" s="4">
        <v>0.38472222222222224</v>
      </c>
      <c r="BU2866" t="s">
        <v>3261</v>
      </c>
      <c r="BV2866" t="s">
        <v>86</v>
      </c>
      <c r="BY2866">
        <v>1200</v>
      </c>
      <c r="CA2866">
        <v>8602010437080</v>
      </c>
      <c r="CC2866" t="s">
        <v>169</v>
      </c>
      <c r="CD2866" s="5" t="s">
        <v>1108</v>
      </c>
      <c r="CE2866" t="s">
        <v>147</v>
      </c>
      <c r="CF2866" s="3">
        <v>45954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"080068703167"</f>
        <v>080068703167</v>
      </c>
      <c r="F2867" s="3">
        <v>45953</v>
      </c>
      <c r="G2867">
        <v>202607</v>
      </c>
      <c r="H2867" t="s">
        <v>79</v>
      </c>
      <c r="I2867" t="s">
        <v>80</v>
      </c>
      <c r="J2867" t="s">
        <v>91</v>
      </c>
      <c r="K2867" t="s">
        <v>78</v>
      </c>
      <c r="L2867" t="s">
        <v>265</v>
      </c>
      <c r="M2867" t="s">
        <v>266</v>
      </c>
      <c r="N2867" t="s">
        <v>536</v>
      </c>
      <c r="O2867" t="s">
        <v>82</v>
      </c>
      <c r="P2867" t="str">
        <f>"4170065930                    "</f>
        <v xml:space="preserve">4170065930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22.36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70.959999999999994</v>
      </c>
      <c r="BM2867">
        <v>10.64</v>
      </c>
      <c r="BN2867">
        <v>81.599999999999994</v>
      </c>
      <c r="BO2867">
        <v>81.599999999999994</v>
      </c>
      <c r="BQ2867" t="s">
        <v>537</v>
      </c>
      <c r="BR2867" t="s">
        <v>97</v>
      </c>
      <c r="BS2867" s="3">
        <v>45954</v>
      </c>
      <c r="BT2867" s="4">
        <v>0.33333333333333331</v>
      </c>
      <c r="BU2867" t="s">
        <v>817</v>
      </c>
      <c r="BV2867" t="s">
        <v>86</v>
      </c>
      <c r="BY2867">
        <v>1200</v>
      </c>
      <c r="CA2867" t="s">
        <v>818</v>
      </c>
      <c r="CC2867" t="s">
        <v>266</v>
      </c>
      <c r="CD2867">
        <v>6230</v>
      </c>
      <c r="CE2867" t="s">
        <v>147</v>
      </c>
      <c r="CF2867" s="3">
        <v>45954</v>
      </c>
      <c r="CI2867">
        <v>1</v>
      </c>
      <c r="CJ2867">
        <v>1</v>
      </c>
      <c r="CK2867">
        <v>21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"080068703222"</f>
        <v>080068703222</v>
      </c>
      <c r="F2868" s="3">
        <v>45953</v>
      </c>
      <c r="G2868">
        <v>202607</v>
      </c>
      <c r="H2868" t="s">
        <v>79</v>
      </c>
      <c r="I2868" t="s">
        <v>80</v>
      </c>
      <c r="J2868" t="s">
        <v>91</v>
      </c>
      <c r="K2868" t="s">
        <v>78</v>
      </c>
      <c r="L2868" t="s">
        <v>218</v>
      </c>
      <c r="M2868" t="s">
        <v>219</v>
      </c>
      <c r="N2868" t="s">
        <v>520</v>
      </c>
      <c r="O2868" t="s">
        <v>226</v>
      </c>
      <c r="P2868" t="str">
        <f>"4170065689                    "</f>
        <v xml:space="preserve">4170065689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23.35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11</v>
      </c>
      <c r="BJ2868">
        <v>9.1</v>
      </c>
      <c r="BK2868">
        <v>11</v>
      </c>
      <c r="BL2868">
        <v>74.099999999999994</v>
      </c>
      <c r="BM2868">
        <v>11.12</v>
      </c>
      <c r="BN2868">
        <v>85.22</v>
      </c>
      <c r="BO2868">
        <v>85.22</v>
      </c>
      <c r="BQ2868" t="s">
        <v>1805</v>
      </c>
      <c r="BR2868" t="s">
        <v>97</v>
      </c>
      <c r="BS2868" s="3">
        <v>45954</v>
      </c>
      <c r="BT2868" s="4">
        <v>0.45347222222222222</v>
      </c>
      <c r="BU2868" t="s">
        <v>3262</v>
      </c>
      <c r="BV2868" t="s">
        <v>86</v>
      </c>
      <c r="BY2868">
        <v>45632</v>
      </c>
      <c r="CA2868" t="s">
        <v>1434</v>
      </c>
      <c r="CC2868" t="s">
        <v>219</v>
      </c>
      <c r="CD2868">
        <v>1559</v>
      </c>
      <c r="CE2868" t="s">
        <v>191</v>
      </c>
      <c r="CF2868" s="3">
        <v>45954</v>
      </c>
      <c r="CI2868">
        <v>1</v>
      </c>
      <c r="CJ2868">
        <v>1</v>
      </c>
      <c r="CK2868">
        <v>32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"080068703244"</f>
        <v>080068703244</v>
      </c>
      <c r="F2869" s="3">
        <v>45953</v>
      </c>
      <c r="G2869">
        <v>202607</v>
      </c>
      <c r="H2869" t="s">
        <v>79</v>
      </c>
      <c r="I2869" t="s">
        <v>80</v>
      </c>
      <c r="J2869" t="s">
        <v>91</v>
      </c>
      <c r="K2869" t="s">
        <v>78</v>
      </c>
      <c r="L2869" t="s">
        <v>206</v>
      </c>
      <c r="M2869" t="s">
        <v>207</v>
      </c>
      <c r="N2869" t="s">
        <v>1200</v>
      </c>
      <c r="O2869" t="s">
        <v>82</v>
      </c>
      <c r="P2869" t="str">
        <f>"4170065897                    "</f>
        <v xml:space="preserve">4170065897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89.37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2</v>
      </c>
      <c r="BI2869">
        <v>8</v>
      </c>
      <c r="BJ2869">
        <v>7.8</v>
      </c>
      <c r="BK2869">
        <v>8</v>
      </c>
      <c r="BL2869">
        <v>283.64999999999998</v>
      </c>
      <c r="BM2869">
        <v>42.55</v>
      </c>
      <c r="BN2869">
        <v>326.2</v>
      </c>
      <c r="BO2869">
        <v>326.2</v>
      </c>
      <c r="BQ2869" t="s">
        <v>1201</v>
      </c>
      <c r="BR2869" t="s">
        <v>97</v>
      </c>
      <c r="BS2869" s="3">
        <v>45954</v>
      </c>
      <c r="BT2869" s="4">
        <v>0.38055555555555554</v>
      </c>
      <c r="BU2869" t="s">
        <v>1362</v>
      </c>
      <c r="BV2869" t="s">
        <v>86</v>
      </c>
      <c r="BY2869">
        <v>19456</v>
      </c>
      <c r="CA2869" t="s">
        <v>211</v>
      </c>
      <c r="CC2869" t="s">
        <v>207</v>
      </c>
      <c r="CD2869">
        <v>8001</v>
      </c>
      <c r="CE2869" t="s">
        <v>1088</v>
      </c>
      <c r="CF2869" s="3">
        <v>45957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"080068703254"</f>
        <v>080068703254</v>
      </c>
      <c r="F2870" s="3">
        <v>45953</v>
      </c>
      <c r="G2870">
        <v>202607</v>
      </c>
      <c r="H2870" t="s">
        <v>79</v>
      </c>
      <c r="I2870" t="s">
        <v>80</v>
      </c>
      <c r="J2870" t="s">
        <v>91</v>
      </c>
      <c r="K2870" t="s">
        <v>78</v>
      </c>
      <c r="L2870" t="s">
        <v>75</v>
      </c>
      <c r="M2870" t="s">
        <v>76</v>
      </c>
      <c r="N2870" t="s">
        <v>3263</v>
      </c>
      <c r="O2870" t="s">
        <v>82</v>
      </c>
      <c r="P2870" t="str">
        <f>"4170065924                    "</f>
        <v xml:space="preserve">4170065924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17.46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3</v>
      </c>
      <c r="BJ2870">
        <v>4.0999999999999996</v>
      </c>
      <c r="BK2870">
        <v>5</v>
      </c>
      <c r="BL2870">
        <v>55.42</v>
      </c>
      <c r="BM2870">
        <v>8.31</v>
      </c>
      <c r="BN2870">
        <v>63.73</v>
      </c>
      <c r="BO2870">
        <v>63.73</v>
      </c>
      <c r="BQ2870" t="s">
        <v>3264</v>
      </c>
      <c r="BR2870" t="s">
        <v>97</v>
      </c>
      <c r="BS2870" s="3">
        <v>45954</v>
      </c>
      <c r="BT2870" s="4">
        <v>0.43680555555555556</v>
      </c>
      <c r="BU2870" t="s">
        <v>3265</v>
      </c>
      <c r="BV2870" t="s">
        <v>86</v>
      </c>
      <c r="BY2870">
        <v>20358</v>
      </c>
      <c r="CA2870" t="s">
        <v>1149</v>
      </c>
      <c r="CC2870" t="s">
        <v>76</v>
      </c>
      <c r="CD2870">
        <v>2194</v>
      </c>
      <c r="CE2870" t="s">
        <v>191</v>
      </c>
      <c r="CF2870" s="3">
        <v>45955</v>
      </c>
      <c r="CI2870">
        <v>1</v>
      </c>
      <c r="CJ2870">
        <v>1</v>
      </c>
      <c r="CK2870">
        <v>22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"080068703267"</f>
        <v>080068703267</v>
      </c>
      <c r="F2871" s="3">
        <v>45953</v>
      </c>
      <c r="G2871">
        <v>202607</v>
      </c>
      <c r="H2871" t="s">
        <v>79</v>
      </c>
      <c r="I2871" t="s">
        <v>80</v>
      </c>
      <c r="J2871" t="s">
        <v>91</v>
      </c>
      <c r="K2871" t="s">
        <v>78</v>
      </c>
      <c r="L2871" t="s">
        <v>271</v>
      </c>
      <c r="M2871" t="s">
        <v>272</v>
      </c>
      <c r="N2871" t="s">
        <v>273</v>
      </c>
      <c r="O2871" t="s">
        <v>226</v>
      </c>
      <c r="P2871" t="str">
        <f>"4170065925                    "</f>
        <v xml:space="preserve">4170065925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17.47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8</v>
      </c>
      <c r="BJ2871">
        <v>4.0999999999999996</v>
      </c>
      <c r="BK2871">
        <v>8</v>
      </c>
      <c r="BL2871">
        <v>55.44</v>
      </c>
      <c r="BM2871">
        <v>8.32</v>
      </c>
      <c r="BN2871">
        <v>63.76</v>
      </c>
      <c r="BO2871">
        <v>63.76</v>
      </c>
      <c r="BQ2871" t="s">
        <v>274</v>
      </c>
      <c r="BR2871" t="s">
        <v>97</v>
      </c>
      <c r="BS2871" s="3">
        <v>45954</v>
      </c>
      <c r="BT2871" s="4">
        <v>0.54305555555555551</v>
      </c>
      <c r="BU2871" t="s">
        <v>3266</v>
      </c>
      <c r="BV2871" t="s">
        <v>86</v>
      </c>
      <c r="BY2871">
        <v>20358</v>
      </c>
      <c r="CA2871" t="s">
        <v>661</v>
      </c>
      <c r="CC2871" t="s">
        <v>272</v>
      </c>
      <c r="CD2871">
        <v>1422</v>
      </c>
      <c r="CE2871" t="s">
        <v>191</v>
      </c>
      <c r="CF2871" s="3">
        <v>45955</v>
      </c>
      <c r="CI2871">
        <v>1</v>
      </c>
      <c r="CJ2871">
        <v>1</v>
      </c>
      <c r="CK2871">
        <v>32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"080068703272"</f>
        <v>080068703272</v>
      </c>
      <c r="F2872" s="3">
        <v>45953</v>
      </c>
      <c r="G2872">
        <v>202607</v>
      </c>
      <c r="H2872" t="s">
        <v>79</v>
      </c>
      <c r="I2872" t="s">
        <v>80</v>
      </c>
      <c r="J2872" t="s">
        <v>91</v>
      </c>
      <c r="K2872" t="s">
        <v>78</v>
      </c>
      <c r="L2872" t="s">
        <v>148</v>
      </c>
      <c r="M2872" t="s">
        <v>149</v>
      </c>
      <c r="N2872" t="s">
        <v>3267</v>
      </c>
      <c r="O2872" t="s">
        <v>82</v>
      </c>
      <c r="P2872" t="str">
        <f>"4170065802                    "</f>
        <v xml:space="preserve">4170065802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17.46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55.42</v>
      </c>
      <c r="BM2872">
        <v>8.31</v>
      </c>
      <c r="BN2872">
        <v>63.73</v>
      </c>
      <c r="BO2872">
        <v>63.73</v>
      </c>
      <c r="BQ2872" t="s">
        <v>3268</v>
      </c>
      <c r="BR2872" t="s">
        <v>97</v>
      </c>
      <c r="BS2872" s="3">
        <v>45954</v>
      </c>
      <c r="BT2872" s="4">
        <v>0.42708333333333331</v>
      </c>
      <c r="BU2872" t="s">
        <v>3269</v>
      </c>
      <c r="BV2872" t="s">
        <v>86</v>
      </c>
      <c r="BY2872">
        <v>1200</v>
      </c>
      <c r="CA2872" t="s">
        <v>1463</v>
      </c>
      <c r="CC2872" t="s">
        <v>149</v>
      </c>
      <c r="CD2872">
        <v>2000</v>
      </c>
      <c r="CE2872" t="s">
        <v>147</v>
      </c>
      <c r="CF2872" s="3">
        <v>45954</v>
      </c>
      <c r="CI2872">
        <v>1</v>
      </c>
      <c r="CJ2872">
        <v>1</v>
      </c>
      <c r="CK2872">
        <v>22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"080068703290"</f>
        <v>080068703290</v>
      </c>
      <c r="F2873" s="3">
        <v>45953</v>
      </c>
      <c r="G2873">
        <v>202607</v>
      </c>
      <c r="H2873" t="s">
        <v>79</v>
      </c>
      <c r="I2873" t="s">
        <v>80</v>
      </c>
      <c r="J2873" t="s">
        <v>91</v>
      </c>
      <c r="K2873" t="s">
        <v>78</v>
      </c>
      <c r="L2873" t="s">
        <v>884</v>
      </c>
      <c r="M2873" t="s">
        <v>885</v>
      </c>
      <c r="N2873" t="s">
        <v>886</v>
      </c>
      <c r="O2873" t="s">
        <v>82</v>
      </c>
      <c r="P2873" t="str">
        <f>"4170065949                    "</f>
        <v xml:space="preserve">4170065949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111.77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5.3</v>
      </c>
      <c r="BJ2873">
        <v>3.5</v>
      </c>
      <c r="BK2873">
        <v>5.5</v>
      </c>
      <c r="BL2873">
        <v>354.75</v>
      </c>
      <c r="BM2873">
        <v>53.21</v>
      </c>
      <c r="BN2873">
        <v>407.96</v>
      </c>
      <c r="BO2873">
        <v>407.96</v>
      </c>
      <c r="BQ2873" t="s">
        <v>887</v>
      </c>
      <c r="BR2873" t="s">
        <v>97</v>
      </c>
      <c r="BS2873" s="3">
        <v>45954</v>
      </c>
      <c r="BT2873" s="4">
        <v>0.29166666666666669</v>
      </c>
      <c r="BU2873" t="s">
        <v>888</v>
      </c>
      <c r="BV2873" t="s">
        <v>86</v>
      </c>
      <c r="BY2873">
        <v>17543.79</v>
      </c>
      <c r="CC2873" t="s">
        <v>885</v>
      </c>
      <c r="CD2873">
        <v>2740</v>
      </c>
      <c r="CE2873" t="s">
        <v>191</v>
      </c>
      <c r="CF2873" s="3">
        <v>45957</v>
      </c>
      <c r="CI2873">
        <v>1</v>
      </c>
      <c r="CJ2873">
        <v>1</v>
      </c>
      <c r="CK2873">
        <v>23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"080068703291"</f>
        <v>080068703291</v>
      </c>
      <c r="F2874" s="3">
        <v>45953</v>
      </c>
      <c r="G2874">
        <v>202607</v>
      </c>
      <c r="H2874" t="s">
        <v>79</v>
      </c>
      <c r="I2874" t="s">
        <v>80</v>
      </c>
      <c r="J2874" t="s">
        <v>91</v>
      </c>
      <c r="K2874" t="s">
        <v>78</v>
      </c>
      <c r="L2874" t="s">
        <v>206</v>
      </c>
      <c r="M2874" t="s">
        <v>207</v>
      </c>
      <c r="N2874" t="s">
        <v>943</v>
      </c>
      <c r="O2874" t="s">
        <v>82</v>
      </c>
      <c r="P2874" t="str">
        <f>"4170065673                    "</f>
        <v xml:space="preserve">4170065673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22.36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70.959999999999994</v>
      </c>
      <c r="BM2874">
        <v>10.64</v>
      </c>
      <c r="BN2874">
        <v>81.599999999999994</v>
      </c>
      <c r="BO2874">
        <v>81.599999999999994</v>
      </c>
      <c r="BQ2874" t="s">
        <v>944</v>
      </c>
      <c r="BR2874" t="s">
        <v>97</v>
      </c>
      <c r="BS2874" s="3">
        <v>45954</v>
      </c>
      <c r="BT2874" s="4">
        <v>0.42430555555555555</v>
      </c>
      <c r="BU2874" t="s">
        <v>3218</v>
      </c>
      <c r="BV2874" t="s">
        <v>86</v>
      </c>
      <c r="BY2874">
        <v>1200</v>
      </c>
      <c r="CA2874" t="s">
        <v>461</v>
      </c>
      <c r="CC2874" t="s">
        <v>207</v>
      </c>
      <c r="CD2874">
        <v>7530</v>
      </c>
      <c r="CE2874" t="s">
        <v>147</v>
      </c>
      <c r="CF2874" s="3">
        <v>45957</v>
      </c>
      <c r="CI2874">
        <v>1</v>
      </c>
      <c r="CJ2874">
        <v>1</v>
      </c>
      <c r="CK2874">
        <v>21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"080068703308"</f>
        <v>080068703308</v>
      </c>
      <c r="F2875" s="3">
        <v>45953</v>
      </c>
      <c r="G2875">
        <v>202607</v>
      </c>
      <c r="H2875" t="s">
        <v>79</v>
      </c>
      <c r="I2875" t="s">
        <v>80</v>
      </c>
      <c r="J2875" t="s">
        <v>91</v>
      </c>
      <c r="K2875" t="s">
        <v>78</v>
      </c>
      <c r="L2875" t="s">
        <v>121</v>
      </c>
      <c r="M2875" t="s">
        <v>122</v>
      </c>
      <c r="N2875" t="s">
        <v>1674</v>
      </c>
      <c r="O2875" t="s">
        <v>82</v>
      </c>
      <c r="P2875" t="str">
        <f>"4170065714                    "</f>
        <v xml:space="preserve">4170065714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22.36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70.959999999999994</v>
      </c>
      <c r="BM2875">
        <v>10.64</v>
      </c>
      <c r="BN2875">
        <v>81.599999999999994</v>
      </c>
      <c r="BO2875">
        <v>81.599999999999994</v>
      </c>
      <c r="BQ2875" t="s">
        <v>1675</v>
      </c>
      <c r="BR2875" t="s">
        <v>97</v>
      </c>
      <c r="BS2875" s="3">
        <v>45954</v>
      </c>
      <c r="BT2875" s="4">
        <v>0.40625</v>
      </c>
      <c r="BU2875" t="s">
        <v>823</v>
      </c>
      <c r="BV2875" t="s">
        <v>86</v>
      </c>
      <c r="BY2875">
        <v>1200</v>
      </c>
      <c r="CA2875" t="s">
        <v>651</v>
      </c>
      <c r="CC2875" t="s">
        <v>122</v>
      </c>
      <c r="CD2875">
        <v>4001</v>
      </c>
      <c r="CE2875" t="s">
        <v>147</v>
      </c>
      <c r="CF2875" s="3">
        <v>45954</v>
      </c>
      <c r="CI2875">
        <v>1</v>
      </c>
      <c r="CJ2875">
        <v>1</v>
      </c>
      <c r="CK2875">
        <v>21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"080068703311"</f>
        <v>080068703311</v>
      </c>
      <c r="F2876" s="3">
        <v>45953</v>
      </c>
      <c r="G2876">
        <v>202607</v>
      </c>
      <c r="H2876" t="s">
        <v>79</v>
      </c>
      <c r="I2876" t="s">
        <v>80</v>
      </c>
      <c r="J2876" t="s">
        <v>91</v>
      </c>
      <c r="K2876" t="s">
        <v>78</v>
      </c>
      <c r="L2876" t="s">
        <v>446</v>
      </c>
      <c r="M2876" t="s">
        <v>447</v>
      </c>
      <c r="N2876" t="s">
        <v>448</v>
      </c>
      <c r="O2876" t="s">
        <v>95</v>
      </c>
      <c r="P2876" t="str">
        <f>"4170065908                    "</f>
        <v xml:space="preserve">4170065908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70.319999999999993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8</v>
      </c>
      <c r="BJ2876">
        <v>17.7</v>
      </c>
      <c r="BK2876">
        <v>18</v>
      </c>
      <c r="BL2876">
        <v>229.05</v>
      </c>
      <c r="BM2876">
        <v>34.36</v>
      </c>
      <c r="BN2876">
        <v>263.41000000000003</v>
      </c>
      <c r="BO2876">
        <v>263.41000000000003</v>
      </c>
      <c r="BQ2876" t="s">
        <v>449</v>
      </c>
      <c r="BR2876" t="s">
        <v>97</v>
      </c>
      <c r="BS2876" s="3">
        <v>45957</v>
      </c>
      <c r="BT2876" s="4">
        <v>0.49791666666666667</v>
      </c>
      <c r="BU2876" t="s">
        <v>450</v>
      </c>
      <c r="BV2876" t="s">
        <v>86</v>
      </c>
      <c r="BY2876">
        <v>88320</v>
      </c>
      <c r="CA2876" t="s">
        <v>1124</v>
      </c>
      <c r="CC2876" t="s">
        <v>447</v>
      </c>
      <c r="CD2876">
        <v>7130</v>
      </c>
      <c r="CE2876" t="s">
        <v>191</v>
      </c>
      <c r="CF2876" s="3">
        <v>45958</v>
      </c>
      <c r="CI2876">
        <v>3</v>
      </c>
      <c r="CJ2876">
        <v>2</v>
      </c>
      <c r="CK2876">
        <v>43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"080068703322"</f>
        <v>080068703322</v>
      </c>
      <c r="F2877" s="3">
        <v>45953</v>
      </c>
      <c r="G2877">
        <v>202607</v>
      </c>
      <c r="H2877" t="s">
        <v>79</v>
      </c>
      <c r="I2877" t="s">
        <v>80</v>
      </c>
      <c r="J2877" t="s">
        <v>91</v>
      </c>
      <c r="K2877" t="s">
        <v>78</v>
      </c>
      <c r="L2877" t="s">
        <v>206</v>
      </c>
      <c r="M2877" t="s">
        <v>207</v>
      </c>
      <c r="N2877" t="s">
        <v>656</v>
      </c>
      <c r="O2877" t="s">
        <v>82</v>
      </c>
      <c r="P2877" t="str">
        <f>"4170065732                    "</f>
        <v xml:space="preserve">4170065732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22.36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70.959999999999994</v>
      </c>
      <c r="BM2877">
        <v>10.64</v>
      </c>
      <c r="BN2877">
        <v>81.599999999999994</v>
      </c>
      <c r="BO2877">
        <v>81.599999999999994</v>
      </c>
      <c r="BQ2877" t="s">
        <v>657</v>
      </c>
      <c r="BR2877" t="s">
        <v>97</v>
      </c>
      <c r="BS2877" s="3">
        <v>45954</v>
      </c>
      <c r="BT2877" s="4">
        <v>0.39861111111111114</v>
      </c>
      <c r="BU2877" t="s">
        <v>658</v>
      </c>
      <c r="BV2877" t="s">
        <v>86</v>
      </c>
      <c r="BY2877">
        <v>1200</v>
      </c>
      <c r="CA2877" t="s">
        <v>211</v>
      </c>
      <c r="CC2877" t="s">
        <v>207</v>
      </c>
      <c r="CD2877">
        <v>7441</v>
      </c>
      <c r="CE2877" t="s">
        <v>147</v>
      </c>
      <c r="CF2877" s="3">
        <v>45957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"080068703054"</f>
        <v>080068703054</v>
      </c>
      <c r="F2878" s="3">
        <v>45953</v>
      </c>
      <c r="G2878">
        <v>202607</v>
      </c>
      <c r="H2878" t="s">
        <v>79</v>
      </c>
      <c r="I2878" t="s">
        <v>80</v>
      </c>
      <c r="J2878" t="s">
        <v>91</v>
      </c>
      <c r="K2878" t="s">
        <v>78</v>
      </c>
      <c r="L2878" t="s">
        <v>350</v>
      </c>
      <c r="M2878" t="s">
        <v>351</v>
      </c>
      <c r="N2878" t="s">
        <v>2636</v>
      </c>
      <c r="O2878" t="s">
        <v>95</v>
      </c>
      <c r="P2878" t="str">
        <f>"4170065874                    "</f>
        <v xml:space="preserve">4170065874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2</v>
      </c>
      <c r="BJ2878">
        <v>0</v>
      </c>
      <c r="BK2878">
        <v>2</v>
      </c>
      <c r="BL2878">
        <v>0</v>
      </c>
      <c r="BM2878">
        <v>0</v>
      </c>
      <c r="BN2878">
        <v>0</v>
      </c>
      <c r="BO2878">
        <v>0</v>
      </c>
      <c r="BQ2878" t="s">
        <v>2637</v>
      </c>
      <c r="BR2878" t="s">
        <v>97</v>
      </c>
      <c r="BS2878" t="s">
        <v>2659</v>
      </c>
      <c r="BY2878">
        <v>88320</v>
      </c>
      <c r="CC2878" t="s">
        <v>351</v>
      </c>
      <c r="CD2878" s="5" t="s">
        <v>356</v>
      </c>
      <c r="CE2878" t="s">
        <v>191</v>
      </c>
      <c r="CI2878">
        <v>1</v>
      </c>
      <c r="CJ2878" t="s">
        <v>2659</v>
      </c>
      <c r="CK2878">
        <v>-1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"080068715175"</f>
        <v>080068715175</v>
      </c>
      <c r="F2879" s="3">
        <v>45954</v>
      </c>
      <c r="G2879">
        <v>202607</v>
      </c>
      <c r="H2879" t="s">
        <v>79</v>
      </c>
      <c r="I2879" t="s">
        <v>80</v>
      </c>
      <c r="J2879" t="s">
        <v>91</v>
      </c>
      <c r="K2879" t="s">
        <v>78</v>
      </c>
      <c r="L2879" t="s">
        <v>168</v>
      </c>
      <c r="M2879" t="s">
        <v>169</v>
      </c>
      <c r="N2879" t="s">
        <v>3024</v>
      </c>
      <c r="O2879" t="s">
        <v>95</v>
      </c>
      <c r="P2879" t="str">
        <f>"4170065878                    "</f>
        <v xml:space="preserve">4170065878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223.5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54</v>
      </c>
      <c r="BJ2879">
        <v>115.2</v>
      </c>
      <c r="BK2879">
        <v>116</v>
      </c>
      <c r="BL2879">
        <v>715.23</v>
      </c>
      <c r="BM2879">
        <v>107.28</v>
      </c>
      <c r="BN2879">
        <v>822.51</v>
      </c>
      <c r="BO2879">
        <v>822.51</v>
      </c>
      <c r="BQ2879" t="s">
        <v>3025</v>
      </c>
      <c r="BR2879" t="s">
        <v>97</v>
      </c>
      <c r="BS2879" s="3">
        <v>45958</v>
      </c>
      <c r="BT2879" s="4">
        <v>0.53472222222222221</v>
      </c>
      <c r="BU2879" t="s">
        <v>2558</v>
      </c>
      <c r="BV2879" t="s">
        <v>90</v>
      </c>
      <c r="BW2879" t="s">
        <v>3026</v>
      </c>
      <c r="BX2879" t="s">
        <v>732</v>
      </c>
      <c r="BY2879">
        <v>576000</v>
      </c>
      <c r="CC2879" t="s">
        <v>169</v>
      </c>
      <c r="CD2879" s="5" t="s">
        <v>173</v>
      </c>
      <c r="CE2879" t="s">
        <v>1122</v>
      </c>
      <c r="CF2879" s="3">
        <v>45959</v>
      </c>
      <c r="CI2879">
        <v>1</v>
      </c>
      <c r="CJ2879">
        <v>2</v>
      </c>
      <c r="CK2879">
        <v>41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"080068716341"</f>
        <v>080068716341</v>
      </c>
      <c r="F2880" s="3">
        <v>45954</v>
      </c>
      <c r="G2880">
        <v>202607</v>
      </c>
      <c r="H2880" t="s">
        <v>79</v>
      </c>
      <c r="I2880" t="s">
        <v>80</v>
      </c>
      <c r="J2880" t="s">
        <v>91</v>
      </c>
      <c r="K2880" t="s">
        <v>78</v>
      </c>
      <c r="L2880" t="s">
        <v>148</v>
      </c>
      <c r="M2880" t="s">
        <v>149</v>
      </c>
      <c r="N2880" t="s">
        <v>993</v>
      </c>
      <c r="O2880" t="s">
        <v>226</v>
      </c>
      <c r="P2880" t="str">
        <f>"4170065876                    "</f>
        <v xml:space="preserve">4170065876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29.22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13.4</v>
      </c>
      <c r="BJ2880">
        <v>8.9</v>
      </c>
      <c r="BK2880">
        <v>14</v>
      </c>
      <c r="BL2880">
        <v>92.75</v>
      </c>
      <c r="BM2880">
        <v>13.91</v>
      </c>
      <c r="BN2880">
        <v>106.66</v>
      </c>
      <c r="BO2880">
        <v>106.66</v>
      </c>
      <c r="BQ2880" t="s">
        <v>994</v>
      </c>
      <c r="BR2880" t="s">
        <v>97</v>
      </c>
      <c r="BS2880" s="3">
        <v>45957</v>
      </c>
      <c r="BT2880" s="4">
        <v>0.39583333333333331</v>
      </c>
      <c r="BU2880" t="s">
        <v>3270</v>
      </c>
      <c r="BV2880" t="s">
        <v>86</v>
      </c>
      <c r="BY2880">
        <v>44441.599999999999</v>
      </c>
      <c r="CA2880" t="s">
        <v>1321</v>
      </c>
      <c r="CC2880" t="s">
        <v>149</v>
      </c>
      <c r="CD2880">
        <v>2001</v>
      </c>
      <c r="CE2880" t="s">
        <v>191</v>
      </c>
      <c r="CF2880" s="3">
        <v>45957</v>
      </c>
      <c r="CI2880">
        <v>1</v>
      </c>
      <c r="CJ2880">
        <v>1</v>
      </c>
      <c r="CK2880">
        <v>32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"080068716419"</f>
        <v>080068716419</v>
      </c>
      <c r="F2881" s="3">
        <v>45954</v>
      </c>
      <c r="G2881">
        <v>202607</v>
      </c>
      <c r="H2881" t="s">
        <v>79</v>
      </c>
      <c r="I2881" t="s">
        <v>80</v>
      </c>
      <c r="J2881" t="s">
        <v>91</v>
      </c>
      <c r="K2881" t="s">
        <v>78</v>
      </c>
      <c r="L2881" t="s">
        <v>121</v>
      </c>
      <c r="M2881" t="s">
        <v>122</v>
      </c>
      <c r="N2881" t="s">
        <v>159</v>
      </c>
      <c r="O2881" t="s">
        <v>82</v>
      </c>
      <c r="P2881" t="str">
        <f>"4170065937                    "</f>
        <v xml:space="preserve">4170065937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22.36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1.7</v>
      </c>
      <c r="BK2881">
        <v>2</v>
      </c>
      <c r="BL2881">
        <v>70.959999999999994</v>
      </c>
      <c r="BM2881">
        <v>10.64</v>
      </c>
      <c r="BN2881">
        <v>81.599999999999994</v>
      </c>
      <c r="BO2881">
        <v>81.599999999999994</v>
      </c>
      <c r="BQ2881" t="s">
        <v>160</v>
      </c>
      <c r="BR2881" t="s">
        <v>97</v>
      </c>
      <c r="BS2881" s="3">
        <v>45957</v>
      </c>
      <c r="BT2881" s="4">
        <v>0.50138888888888888</v>
      </c>
      <c r="BU2881" t="s">
        <v>2133</v>
      </c>
      <c r="BV2881" t="s">
        <v>90</v>
      </c>
      <c r="BW2881" t="s">
        <v>771</v>
      </c>
      <c r="BX2881" t="s">
        <v>2909</v>
      </c>
      <c r="BY2881">
        <v>8550</v>
      </c>
      <c r="CA2881" t="s">
        <v>742</v>
      </c>
      <c r="CC2881" t="s">
        <v>122</v>
      </c>
      <c r="CD2881">
        <v>4000</v>
      </c>
      <c r="CE2881" t="s">
        <v>191</v>
      </c>
      <c r="CF2881" s="3">
        <v>45958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"080068716458"</f>
        <v>080068716458</v>
      </c>
      <c r="F2882" s="3">
        <v>45954</v>
      </c>
      <c r="G2882">
        <v>202607</v>
      </c>
      <c r="H2882" t="s">
        <v>79</v>
      </c>
      <c r="I2882" t="s">
        <v>80</v>
      </c>
      <c r="J2882" t="s">
        <v>91</v>
      </c>
      <c r="K2882" t="s">
        <v>78</v>
      </c>
      <c r="L2882" t="s">
        <v>884</v>
      </c>
      <c r="M2882" t="s">
        <v>885</v>
      </c>
      <c r="N2882" t="s">
        <v>886</v>
      </c>
      <c r="O2882" t="s">
        <v>82</v>
      </c>
      <c r="P2882" t="str">
        <f>"4170066013                    "</f>
        <v xml:space="preserve">4170066013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43.31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137.47</v>
      </c>
      <c r="BM2882">
        <v>20.62</v>
      </c>
      <c r="BN2882">
        <v>158.09</v>
      </c>
      <c r="BO2882">
        <v>158.09</v>
      </c>
      <c r="BQ2882" t="s">
        <v>887</v>
      </c>
      <c r="BR2882" t="s">
        <v>97</v>
      </c>
      <c r="BS2882" s="3">
        <v>45957</v>
      </c>
      <c r="BT2882" s="4">
        <v>0.35416666666666669</v>
      </c>
      <c r="BU2882" t="s">
        <v>1676</v>
      </c>
      <c r="BV2882" t="s">
        <v>86</v>
      </c>
      <c r="BY2882">
        <v>1200</v>
      </c>
      <c r="CC2882" t="s">
        <v>885</v>
      </c>
      <c r="CD2882">
        <v>2740</v>
      </c>
      <c r="CE2882" t="s">
        <v>147</v>
      </c>
      <c r="CF2882" s="3">
        <v>45958</v>
      </c>
      <c r="CI2882">
        <v>1</v>
      </c>
      <c r="CJ2882">
        <v>1</v>
      </c>
      <c r="CK2882">
        <v>23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"080068716467"</f>
        <v>080068716467</v>
      </c>
      <c r="F2883" s="3">
        <v>45954</v>
      </c>
      <c r="G2883">
        <v>202607</v>
      </c>
      <c r="H2883" t="s">
        <v>79</v>
      </c>
      <c r="I2883" t="s">
        <v>80</v>
      </c>
      <c r="J2883" t="s">
        <v>91</v>
      </c>
      <c r="K2883" t="s">
        <v>78</v>
      </c>
      <c r="L2883" t="s">
        <v>148</v>
      </c>
      <c r="M2883" t="s">
        <v>149</v>
      </c>
      <c r="N2883" t="s">
        <v>465</v>
      </c>
      <c r="O2883" t="s">
        <v>82</v>
      </c>
      <c r="P2883" t="str">
        <f>"4170065939                    "</f>
        <v xml:space="preserve">4170065939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17.46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1.2</v>
      </c>
      <c r="BJ2883">
        <v>1.7</v>
      </c>
      <c r="BK2883">
        <v>2</v>
      </c>
      <c r="BL2883">
        <v>55.42</v>
      </c>
      <c r="BM2883">
        <v>8.31</v>
      </c>
      <c r="BN2883">
        <v>63.73</v>
      </c>
      <c r="BO2883">
        <v>63.73</v>
      </c>
      <c r="BQ2883" t="s">
        <v>466</v>
      </c>
      <c r="BR2883" t="s">
        <v>97</v>
      </c>
      <c r="BS2883" s="3">
        <v>45957</v>
      </c>
      <c r="BT2883" s="4">
        <v>0.39861111111111114</v>
      </c>
      <c r="BU2883" t="s">
        <v>518</v>
      </c>
      <c r="BV2883" t="s">
        <v>86</v>
      </c>
      <c r="BY2883">
        <v>8532.75</v>
      </c>
      <c r="CA2883" t="s">
        <v>2853</v>
      </c>
      <c r="CC2883" t="s">
        <v>149</v>
      </c>
      <c r="CD2883">
        <v>2094</v>
      </c>
      <c r="CE2883" t="s">
        <v>191</v>
      </c>
      <c r="CF2883" s="3">
        <v>45958</v>
      </c>
      <c r="CI2883">
        <v>1</v>
      </c>
      <c r="CJ2883">
        <v>1</v>
      </c>
      <c r="CK2883">
        <v>22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"080068716501"</f>
        <v>080068716501</v>
      </c>
      <c r="F2884" s="3">
        <v>45954</v>
      </c>
      <c r="G2884">
        <v>202607</v>
      </c>
      <c r="H2884" t="s">
        <v>79</v>
      </c>
      <c r="I2884" t="s">
        <v>80</v>
      </c>
      <c r="J2884" t="s">
        <v>91</v>
      </c>
      <c r="K2884" t="s">
        <v>78</v>
      </c>
      <c r="L2884" t="s">
        <v>121</v>
      </c>
      <c r="M2884" t="s">
        <v>122</v>
      </c>
      <c r="N2884" t="s">
        <v>1674</v>
      </c>
      <c r="O2884" t="s">
        <v>82</v>
      </c>
      <c r="P2884" t="str">
        <f>"4170066003                    "</f>
        <v xml:space="preserve">4170066003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22.36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70.959999999999994</v>
      </c>
      <c r="BM2884">
        <v>10.64</v>
      </c>
      <c r="BN2884">
        <v>81.599999999999994</v>
      </c>
      <c r="BO2884">
        <v>81.599999999999994</v>
      </c>
      <c r="BQ2884" t="s">
        <v>1675</v>
      </c>
      <c r="BR2884" t="s">
        <v>97</v>
      </c>
      <c r="BS2884" s="3">
        <v>45958</v>
      </c>
      <c r="BT2884" s="4">
        <v>0.41319444444444442</v>
      </c>
      <c r="BU2884" t="s">
        <v>3271</v>
      </c>
      <c r="BV2884" t="s">
        <v>90</v>
      </c>
      <c r="BW2884" t="s">
        <v>3026</v>
      </c>
      <c r="BX2884" t="s">
        <v>787</v>
      </c>
      <c r="BY2884">
        <v>1200</v>
      </c>
      <c r="CC2884" t="s">
        <v>122</v>
      </c>
      <c r="CD2884">
        <v>4001</v>
      </c>
      <c r="CE2884" t="s">
        <v>147</v>
      </c>
      <c r="CF2884" s="3">
        <v>45959</v>
      </c>
      <c r="CI2884">
        <v>1</v>
      </c>
      <c r="CJ2884">
        <v>2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"080068716517"</f>
        <v>080068716517</v>
      </c>
      <c r="F2885" s="3">
        <v>45954</v>
      </c>
      <c r="G2885">
        <v>202607</v>
      </c>
      <c r="H2885" t="s">
        <v>79</v>
      </c>
      <c r="I2885" t="s">
        <v>80</v>
      </c>
      <c r="J2885" t="s">
        <v>91</v>
      </c>
      <c r="K2885" t="s">
        <v>78</v>
      </c>
      <c r="L2885" t="s">
        <v>453</v>
      </c>
      <c r="M2885" t="s">
        <v>454</v>
      </c>
      <c r="N2885" t="s">
        <v>1223</v>
      </c>
      <c r="O2885" t="s">
        <v>82</v>
      </c>
      <c r="P2885" t="str">
        <f>"4170064929                    "</f>
        <v xml:space="preserve">4170064929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22.36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1.8</v>
      </c>
      <c r="BK2885">
        <v>2</v>
      </c>
      <c r="BL2885">
        <v>70.959999999999994</v>
      </c>
      <c r="BM2885">
        <v>10.64</v>
      </c>
      <c r="BN2885">
        <v>81.599999999999994</v>
      </c>
      <c r="BO2885">
        <v>81.599999999999994</v>
      </c>
      <c r="BQ2885" t="s">
        <v>1224</v>
      </c>
      <c r="BR2885" t="s">
        <v>97</v>
      </c>
      <c r="BS2885" s="3">
        <v>45957</v>
      </c>
      <c r="BT2885" s="4">
        <v>0.39583333333333331</v>
      </c>
      <c r="BU2885" t="s">
        <v>2675</v>
      </c>
      <c r="BV2885" t="s">
        <v>86</v>
      </c>
      <c r="BY2885">
        <v>8816</v>
      </c>
      <c r="CA2885" t="s">
        <v>3272</v>
      </c>
      <c r="CC2885" t="s">
        <v>454</v>
      </c>
      <c r="CD2885">
        <v>3610</v>
      </c>
      <c r="CE2885" t="s">
        <v>191</v>
      </c>
      <c r="CF2885" s="3">
        <v>45958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"080068716827"</f>
        <v>080068716827</v>
      </c>
      <c r="F2886" s="3">
        <v>45954</v>
      </c>
      <c r="G2886">
        <v>202607</v>
      </c>
      <c r="H2886" t="s">
        <v>79</v>
      </c>
      <c r="I2886" t="s">
        <v>80</v>
      </c>
      <c r="J2886" t="s">
        <v>91</v>
      </c>
      <c r="K2886" t="s">
        <v>78</v>
      </c>
      <c r="L2886" t="s">
        <v>206</v>
      </c>
      <c r="M2886" t="s">
        <v>207</v>
      </c>
      <c r="N2886" t="s">
        <v>2026</v>
      </c>
      <c r="O2886" t="s">
        <v>82</v>
      </c>
      <c r="P2886" t="str">
        <f>"4170065927                    "</f>
        <v xml:space="preserve">4170065927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100.54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4</v>
      </c>
      <c r="BJ2886">
        <v>8.9</v>
      </c>
      <c r="BK2886">
        <v>9</v>
      </c>
      <c r="BL2886">
        <v>319.10000000000002</v>
      </c>
      <c r="BM2886">
        <v>47.87</v>
      </c>
      <c r="BN2886">
        <v>366.97</v>
      </c>
      <c r="BO2886">
        <v>366.97</v>
      </c>
      <c r="BQ2886" t="s">
        <v>2027</v>
      </c>
      <c r="BR2886" t="s">
        <v>97</v>
      </c>
      <c r="BS2886" s="3">
        <v>45957</v>
      </c>
      <c r="BT2886" s="4">
        <v>0.4284722222222222</v>
      </c>
      <c r="BU2886" t="s">
        <v>2542</v>
      </c>
      <c r="BV2886" t="s">
        <v>86</v>
      </c>
      <c r="BY2886">
        <v>44640</v>
      </c>
      <c r="CA2886" t="s">
        <v>2029</v>
      </c>
      <c r="CC2886" t="s">
        <v>207</v>
      </c>
      <c r="CD2886">
        <v>7500</v>
      </c>
      <c r="CE2886" t="s">
        <v>191</v>
      </c>
      <c r="CF2886" s="3">
        <v>45958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"080068717351"</f>
        <v>080068717351</v>
      </c>
      <c r="F2887" s="3">
        <v>45954</v>
      </c>
      <c r="G2887">
        <v>202607</v>
      </c>
      <c r="H2887" t="s">
        <v>79</v>
      </c>
      <c r="I2887" t="s">
        <v>80</v>
      </c>
      <c r="J2887" t="s">
        <v>91</v>
      </c>
      <c r="K2887" t="s">
        <v>78</v>
      </c>
      <c r="L2887" t="s">
        <v>239</v>
      </c>
      <c r="M2887" t="s">
        <v>240</v>
      </c>
      <c r="N2887" t="s">
        <v>526</v>
      </c>
      <c r="O2887" t="s">
        <v>82</v>
      </c>
      <c r="P2887" t="str">
        <f>"4170065944                    "</f>
        <v xml:space="preserve">4170065944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111.77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5.3</v>
      </c>
      <c r="BJ2887">
        <v>1.9</v>
      </c>
      <c r="BK2887">
        <v>5.5</v>
      </c>
      <c r="BL2887">
        <v>354.75</v>
      </c>
      <c r="BM2887">
        <v>53.21</v>
      </c>
      <c r="BN2887">
        <v>407.96</v>
      </c>
      <c r="BO2887">
        <v>407.96</v>
      </c>
      <c r="BQ2887" t="s">
        <v>527</v>
      </c>
      <c r="BR2887" t="s">
        <v>97</v>
      </c>
      <c r="BS2887" s="3">
        <v>45957</v>
      </c>
      <c r="BT2887" s="4">
        <v>0.42083333333333334</v>
      </c>
      <c r="BU2887" t="s">
        <v>528</v>
      </c>
      <c r="BV2887" t="s">
        <v>86</v>
      </c>
      <c r="BY2887">
        <v>9438</v>
      </c>
      <c r="CA2887" t="s">
        <v>529</v>
      </c>
      <c r="CC2887" t="s">
        <v>240</v>
      </c>
      <c r="CD2887" s="5" t="s">
        <v>245</v>
      </c>
      <c r="CE2887" t="s">
        <v>107</v>
      </c>
      <c r="CF2887" s="3">
        <v>45958</v>
      </c>
      <c r="CI2887">
        <v>1</v>
      </c>
      <c r="CJ2887">
        <v>1</v>
      </c>
      <c r="CK2887">
        <v>23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"080068717379"</f>
        <v>080068717379</v>
      </c>
      <c r="F2888" s="3">
        <v>45954</v>
      </c>
      <c r="G2888">
        <v>202607</v>
      </c>
      <c r="H2888" t="s">
        <v>79</v>
      </c>
      <c r="I2888" t="s">
        <v>80</v>
      </c>
      <c r="J2888" t="s">
        <v>91</v>
      </c>
      <c r="K2888" t="s">
        <v>78</v>
      </c>
      <c r="L2888" t="s">
        <v>121</v>
      </c>
      <c r="M2888" t="s">
        <v>122</v>
      </c>
      <c r="N2888" t="s">
        <v>911</v>
      </c>
      <c r="O2888" t="s">
        <v>82</v>
      </c>
      <c r="P2888" t="str">
        <f>"4170065940                    "</f>
        <v xml:space="preserve">4170065940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22.36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70.959999999999994</v>
      </c>
      <c r="BM2888">
        <v>10.64</v>
      </c>
      <c r="BN2888">
        <v>81.599999999999994</v>
      </c>
      <c r="BO2888">
        <v>81.599999999999994</v>
      </c>
      <c r="BQ2888" t="s">
        <v>912</v>
      </c>
      <c r="BR2888" t="s">
        <v>97</v>
      </c>
      <c r="BS2888" s="3">
        <v>45959</v>
      </c>
      <c r="BT2888" s="4">
        <v>0.3888888888888889</v>
      </c>
      <c r="BU2888" t="s">
        <v>3273</v>
      </c>
      <c r="BV2888" t="s">
        <v>90</v>
      </c>
      <c r="BW2888" t="s">
        <v>136</v>
      </c>
      <c r="BX2888" t="s">
        <v>137</v>
      </c>
      <c r="BY2888">
        <v>1200</v>
      </c>
      <c r="CA2888" t="s">
        <v>1996</v>
      </c>
      <c r="CC2888" t="s">
        <v>122</v>
      </c>
      <c r="CD2888">
        <v>4068</v>
      </c>
      <c r="CE2888" t="s">
        <v>147</v>
      </c>
      <c r="CF2888" s="3">
        <v>45960</v>
      </c>
      <c r="CI2888">
        <v>1</v>
      </c>
      <c r="CJ2888">
        <v>3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"080068717400"</f>
        <v>080068717400</v>
      </c>
      <c r="F2889" s="3">
        <v>45954</v>
      </c>
      <c r="G2889">
        <v>202607</v>
      </c>
      <c r="H2889" t="s">
        <v>79</v>
      </c>
      <c r="I2889" t="s">
        <v>80</v>
      </c>
      <c r="J2889" t="s">
        <v>91</v>
      </c>
      <c r="K2889" t="s">
        <v>78</v>
      </c>
      <c r="L2889" t="s">
        <v>108</v>
      </c>
      <c r="M2889" t="s">
        <v>109</v>
      </c>
      <c r="N2889" t="s">
        <v>139</v>
      </c>
      <c r="O2889" t="s">
        <v>82</v>
      </c>
      <c r="P2889" t="str">
        <f>"4170065990                    "</f>
        <v xml:space="preserve">4170065990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22.36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2</v>
      </c>
      <c r="BJ2889">
        <v>1.4</v>
      </c>
      <c r="BK2889">
        <v>2</v>
      </c>
      <c r="BL2889">
        <v>70.959999999999994</v>
      </c>
      <c r="BM2889">
        <v>10.64</v>
      </c>
      <c r="BN2889">
        <v>81.599999999999994</v>
      </c>
      <c r="BO2889">
        <v>81.599999999999994</v>
      </c>
      <c r="BQ2889" t="s">
        <v>140</v>
      </c>
      <c r="BR2889" t="s">
        <v>97</v>
      </c>
      <c r="BS2889" s="3">
        <v>45957</v>
      </c>
      <c r="BT2889" s="4">
        <v>0.41180555555555554</v>
      </c>
      <c r="BU2889" t="s">
        <v>3274</v>
      </c>
      <c r="BV2889" t="s">
        <v>86</v>
      </c>
      <c r="BY2889">
        <v>7000</v>
      </c>
      <c r="CA2889" t="s">
        <v>142</v>
      </c>
      <c r="CC2889" t="s">
        <v>109</v>
      </c>
      <c r="CD2889">
        <v>6001</v>
      </c>
      <c r="CE2889" t="s">
        <v>191</v>
      </c>
      <c r="CF2889" s="3">
        <v>45957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"080068717434"</f>
        <v>080068717434</v>
      </c>
      <c r="F2890" s="3">
        <v>45954</v>
      </c>
      <c r="G2890">
        <v>202607</v>
      </c>
      <c r="H2890" t="s">
        <v>79</v>
      </c>
      <c r="I2890" t="s">
        <v>80</v>
      </c>
      <c r="J2890" t="s">
        <v>91</v>
      </c>
      <c r="K2890" t="s">
        <v>78</v>
      </c>
      <c r="L2890" t="s">
        <v>306</v>
      </c>
      <c r="M2890" t="s">
        <v>307</v>
      </c>
      <c r="N2890" t="s">
        <v>308</v>
      </c>
      <c r="O2890" t="s">
        <v>82</v>
      </c>
      <c r="P2890" t="str">
        <f>"4170065991                    "</f>
        <v xml:space="preserve">4170065991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22.36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70.959999999999994</v>
      </c>
      <c r="BM2890">
        <v>10.64</v>
      </c>
      <c r="BN2890">
        <v>81.599999999999994</v>
      </c>
      <c r="BO2890">
        <v>81.599999999999994</v>
      </c>
      <c r="BQ2890" t="s">
        <v>309</v>
      </c>
      <c r="BR2890" t="s">
        <v>97</v>
      </c>
      <c r="BS2890" s="3">
        <v>45957</v>
      </c>
      <c r="BT2890" s="4">
        <v>0.58402777777777781</v>
      </c>
      <c r="BU2890" t="s">
        <v>1584</v>
      </c>
      <c r="BV2890" t="s">
        <v>90</v>
      </c>
      <c r="BW2890" t="s">
        <v>136</v>
      </c>
      <c r="BX2890" t="s">
        <v>858</v>
      </c>
      <c r="BY2890">
        <v>1200</v>
      </c>
      <c r="CA2890" t="s">
        <v>157</v>
      </c>
      <c r="CC2890" t="s">
        <v>307</v>
      </c>
      <c r="CD2890">
        <v>4113</v>
      </c>
      <c r="CE2890" t="s">
        <v>147</v>
      </c>
      <c r="CF2890" s="3">
        <v>45958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"080068717437"</f>
        <v>080068717437</v>
      </c>
      <c r="F2891" s="3">
        <v>45954</v>
      </c>
      <c r="G2891">
        <v>202607</v>
      </c>
      <c r="H2891" t="s">
        <v>79</v>
      </c>
      <c r="I2891" t="s">
        <v>80</v>
      </c>
      <c r="J2891" t="s">
        <v>91</v>
      </c>
      <c r="K2891" t="s">
        <v>78</v>
      </c>
      <c r="L2891" t="s">
        <v>206</v>
      </c>
      <c r="M2891" t="s">
        <v>207</v>
      </c>
      <c r="N2891" t="s">
        <v>556</v>
      </c>
      <c r="O2891" t="s">
        <v>82</v>
      </c>
      <c r="P2891" t="str">
        <f>"4170065695                    "</f>
        <v xml:space="preserve">4170065695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89.37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8</v>
      </c>
      <c r="BJ2891">
        <v>1.8</v>
      </c>
      <c r="BK2891">
        <v>8</v>
      </c>
      <c r="BL2891">
        <v>283.64999999999998</v>
      </c>
      <c r="BM2891">
        <v>42.55</v>
      </c>
      <c r="BN2891">
        <v>326.2</v>
      </c>
      <c r="BO2891">
        <v>326.2</v>
      </c>
      <c r="BQ2891" t="s">
        <v>557</v>
      </c>
      <c r="BR2891" t="s">
        <v>97</v>
      </c>
      <c r="BS2891" s="3">
        <v>45957</v>
      </c>
      <c r="BT2891" s="4">
        <v>0.43611111111111112</v>
      </c>
      <c r="BU2891" t="s">
        <v>3275</v>
      </c>
      <c r="BV2891" t="s">
        <v>86</v>
      </c>
      <c r="BY2891">
        <v>8816</v>
      </c>
      <c r="CA2891" t="s">
        <v>569</v>
      </c>
      <c r="CC2891" t="s">
        <v>207</v>
      </c>
      <c r="CD2891">
        <v>7945</v>
      </c>
      <c r="CE2891" t="s">
        <v>191</v>
      </c>
      <c r="CF2891" s="3">
        <v>45958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"080068717477"</f>
        <v>080068717477</v>
      </c>
      <c r="F2892" s="3">
        <v>45954</v>
      </c>
      <c r="G2892">
        <v>202607</v>
      </c>
      <c r="H2892" t="s">
        <v>79</v>
      </c>
      <c r="I2892" t="s">
        <v>80</v>
      </c>
      <c r="J2892" t="s">
        <v>91</v>
      </c>
      <c r="K2892" t="s">
        <v>78</v>
      </c>
      <c r="L2892" t="s">
        <v>530</v>
      </c>
      <c r="M2892" t="s">
        <v>531</v>
      </c>
      <c r="N2892" t="s">
        <v>532</v>
      </c>
      <c r="O2892" t="s">
        <v>82</v>
      </c>
      <c r="P2892" t="str">
        <f>"4170066047                    "</f>
        <v xml:space="preserve">4170066047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43.31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137.47</v>
      </c>
      <c r="BM2892">
        <v>20.62</v>
      </c>
      <c r="BN2892">
        <v>158.09</v>
      </c>
      <c r="BO2892">
        <v>158.09</v>
      </c>
      <c r="BQ2892" t="s">
        <v>533</v>
      </c>
      <c r="BR2892" t="s">
        <v>97</v>
      </c>
      <c r="BS2892" s="3">
        <v>45957</v>
      </c>
      <c r="BT2892" s="4">
        <v>0.51458333333333328</v>
      </c>
      <c r="BU2892" t="s">
        <v>534</v>
      </c>
      <c r="BV2892" t="s">
        <v>86</v>
      </c>
      <c r="BY2892">
        <v>1200</v>
      </c>
      <c r="CA2892" t="s">
        <v>535</v>
      </c>
      <c r="CC2892" t="s">
        <v>531</v>
      </c>
      <c r="CD2892">
        <v>6850</v>
      </c>
      <c r="CE2892" t="s">
        <v>147</v>
      </c>
      <c r="CF2892" s="3">
        <v>45958</v>
      </c>
      <c r="CI2892">
        <v>2</v>
      </c>
      <c r="CJ2892">
        <v>1</v>
      </c>
      <c r="CK2892">
        <v>23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"080068717512"</f>
        <v>080068717512</v>
      </c>
      <c r="F2893" s="3">
        <v>45954</v>
      </c>
      <c r="G2893">
        <v>202607</v>
      </c>
      <c r="H2893" t="s">
        <v>79</v>
      </c>
      <c r="I2893" t="s">
        <v>80</v>
      </c>
      <c r="J2893" t="s">
        <v>91</v>
      </c>
      <c r="K2893" t="s">
        <v>78</v>
      </c>
      <c r="L2893" t="s">
        <v>148</v>
      </c>
      <c r="M2893" t="s">
        <v>149</v>
      </c>
      <c r="N2893" t="s">
        <v>2936</v>
      </c>
      <c r="O2893" t="s">
        <v>82</v>
      </c>
      <c r="P2893" t="str">
        <f>"4170066058                    "</f>
        <v xml:space="preserve">4170066058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22.36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16.739999999999998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87.7</v>
      </c>
      <c r="BM2893">
        <v>13.16</v>
      </c>
      <c r="BN2893">
        <v>100.86</v>
      </c>
      <c r="BO2893">
        <v>100.86</v>
      </c>
      <c r="BQ2893" t="s">
        <v>2937</v>
      </c>
      <c r="BR2893" t="s">
        <v>97</v>
      </c>
      <c r="BS2893" s="3">
        <v>45957</v>
      </c>
      <c r="BT2893" s="4">
        <v>0.65</v>
      </c>
      <c r="BU2893" t="s">
        <v>3276</v>
      </c>
      <c r="BV2893" t="s">
        <v>86</v>
      </c>
      <c r="BY2893">
        <v>1200</v>
      </c>
      <c r="BZ2893" t="s">
        <v>30</v>
      </c>
      <c r="CA2893" t="s">
        <v>3277</v>
      </c>
      <c r="CC2893" t="s">
        <v>149</v>
      </c>
      <c r="CD2893">
        <v>1821</v>
      </c>
      <c r="CE2893" t="s">
        <v>147</v>
      </c>
      <c r="CF2893" s="3">
        <v>45958</v>
      </c>
      <c r="CI2893">
        <v>0</v>
      </c>
      <c r="CJ2893">
        <v>0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"080068717566"</f>
        <v>080068717566</v>
      </c>
      <c r="F2894" s="3">
        <v>45954</v>
      </c>
      <c r="G2894">
        <v>202607</v>
      </c>
      <c r="H2894" t="s">
        <v>79</v>
      </c>
      <c r="I2894" t="s">
        <v>80</v>
      </c>
      <c r="J2894" t="s">
        <v>91</v>
      </c>
      <c r="K2894" t="s">
        <v>78</v>
      </c>
      <c r="L2894" t="s">
        <v>121</v>
      </c>
      <c r="M2894" t="s">
        <v>122</v>
      </c>
      <c r="N2894" t="s">
        <v>2957</v>
      </c>
      <c r="O2894" t="s">
        <v>82</v>
      </c>
      <c r="P2894" t="str">
        <f>"4170065928                    "</f>
        <v xml:space="preserve">4170065928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22.36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70.959999999999994</v>
      </c>
      <c r="BM2894">
        <v>10.64</v>
      </c>
      <c r="BN2894">
        <v>81.599999999999994</v>
      </c>
      <c r="BO2894">
        <v>81.599999999999994</v>
      </c>
      <c r="BQ2894" t="s">
        <v>2958</v>
      </c>
      <c r="BR2894" t="s">
        <v>97</v>
      </c>
      <c r="BS2894" s="3">
        <v>45957</v>
      </c>
      <c r="BT2894" s="4">
        <v>0.57916666666666672</v>
      </c>
      <c r="BU2894" t="s">
        <v>2208</v>
      </c>
      <c r="BV2894" t="s">
        <v>90</v>
      </c>
      <c r="BW2894" t="s">
        <v>136</v>
      </c>
      <c r="BX2894" t="s">
        <v>858</v>
      </c>
      <c r="BY2894">
        <v>1200</v>
      </c>
      <c r="CA2894" t="s">
        <v>331</v>
      </c>
      <c r="CC2894" t="s">
        <v>122</v>
      </c>
      <c r="CD2894">
        <v>4060</v>
      </c>
      <c r="CE2894" t="s">
        <v>147</v>
      </c>
      <c r="CF2894" s="3">
        <v>45957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"080068717595"</f>
        <v>080068717595</v>
      </c>
      <c r="F2895" s="3">
        <v>45954</v>
      </c>
      <c r="G2895">
        <v>202607</v>
      </c>
      <c r="H2895" t="s">
        <v>79</v>
      </c>
      <c r="I2895" t="s">
        <v>80</v>
      </c>
      <c r="J2895" t="s">
        <v>91</v>
      </c>
      <c r="K2895" t="s">
        <v>78</v>
      </c>
      <c r="L2895" t="s">
        <v>218</v>
      </c>
      <c r="M2895" t="s">
        <v>219</v>
      </c>
      <c r="N2895" t="s">
        <v>520</v>
      </c>
      <c r="O2895" t="s">
        <v>82</v>
      </c>
      <c r="P2895" t="str">
        <f>"4170065860                    "</f>
        <v xml:space="preserve">4170065860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17.46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55.42</v>
      </c>
      <c r="BM2895">
        <v>8.31</v>
      </c>
      <c r="BN2895">
        <v>63.73</v>
      </c>
      <c r="BO2895">
        <v>63.73</v>
      </c>
      <c r="BQ2895" t="s">
        <v>521</v>
      </c>
      <c r="BR2895" t="s">
        <v>97</v>
      </c>
      <c r="BS2895" s="3">
        <v>45957</v>
      </c>
      <c r="BT2895" s="4">
        <v>0.41666666666666669</v>
      </c>
      <c r="BU2895" t="s">
        <v>829</v>
      </c>
      <c r="BV2895" t="s">
        <v>86</v>
      </c>
      <c r="BY2895">
        <v>1200</v>
      </c>
      <c r="CA2895" t="s">
        <v>1434</v>
      </c>
      <c r="CC2895" t="s">
        <v>219</v>
      </c>
      <c r="CD2895">
        <v>1559</v>
      </c>
      <c r="CE2895" t="s">
        <v>147</v>
      </c>
      <c r="CF2895" s="3">
        <v>45958</v>
      </c>
      <c r="CI2895">
        <v>1</v>
      </c>
      <c r="CJ2895">
        <v>1</v>
      </c>
      <c r="CK2895">
        <v>22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"080068717622"</f>
        <v>080068717622</v>
      </c>
      <c r="F2896" s="3">
        <v>45954</v>
      </c>
      <c r="G2896">
        <v>202607</v>
      </c>
      <c r="H2896" t="s">
        <v>79</v>
      </c>
      <c r="I2896" t="s">
        <v>80</v>
      </c>
      <c r="J2896" t="s">
        <v>91</v>
      </c>
      <c r="K2896" t="s">
        <v>78</v>
      </c>
      <c r="L2896" t="s">
        <v>121</v>
      </c>
      <c r="M2896" t="s">
        <v>122</v>
      </c>
      <c r="N2896" t="s">
        <v>2957</v>
      </c>
      <c r="O2896" t="s">
        <v>82</v>
      </c>
      <c r="P2896" t="str">
        <f>"4170065929                    "</f>
        <v xml:space="preserve">4170065929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22.36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70.959999999999994</v>
      </c>
      <c r="BM2896">
        <v>10.64</v>
      </c>
      <c r="BN2896">
        <v>81.599999999999994</v>
      </c>
      <c r="BO2896">
        <v>81.599999999999994</v>
      </c>
      <c r="BQ2896" t="s">
        <v>2958</v>
      </c>
      <c r="BR2896" t="s">
        <v>97</v>
      </c>
      <c r="BS2896" s="3">
        <v>45957</v>
      </c>
      <c r="BT2896" s="4">
        <v>0.57916666666666672</v>
      </c>
      <c r="BU2896" t="s">
        <v>2208</v>
      </c>
      <c r="BV2896" t="s">
        <v>90</v>
      </c>
      <c r="BW2896" t="s">
        <v>136</v>
      </c>
      <c r="BX2896" t="s">
        <v>858</v>
      </c>
      <c r="BY2896">
        <v>1200</v>
      </c>
      <c r="CA2896" t="s">
        <v>331</v>
      </c>
      <c r="CC2896" t="s">
        <v>122</v>
      </c>
      <c r="CD2896">
        <v>4060</v>
      </c>
      <c r="CE2896" t="s">
        <v>147</v>
      </c>
      <c r="CF2896" s="3">
        <v>45957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"080068717645"</f>
        <v>080068717645</v>
      </c>
      <c r="F2897" s="3">
        <v>45954</v>
      </c>
      <c r="G2897">
        <v>202607</v>
      </c>
      <c r="H2897" t="s">
        <v>79</v>
      </c>
      <c r="I2897" t="s">
        <v>80</v>
      </c>
      <c r="J2897" t="s">
        <v>91</v>
      </c>
      <c r="K2897" t="s">
        <v>78</v>
      </c>
      <c r="L2897" t="s">
        <v>148</v>
      </c>
      <c r="M2897" t="s">
        <v>149</v>
      </c>
      <c r="N2897" t="s">
        <v>849</v>
      </c>
      <c r="O2897" t="s">
        <v>82</v>
      </c>
      <c r="P2897" t="str">
        <f>"4170066012                    "</f>
        <v xml:space="preserve">4170066012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17.46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55.42</v>
      </c>
      <c r="BM2897">
        <v>8.31</v>
      </c>
      <c r="BN2897">
        <v>63.73</v>
      </c>
      <c r="BO2897">
        <v>63.73</v>
      </c>
      <c r="BQ2897" t="s">
        <v>850</v>
      </c>
      <c r="BR2897" t="s">
        <v>97</v>
      </c>
      <c r="BS2897" s="3">
        <v>45957</v>
      </c>
      <c r="BT2897" s="4">
        <v>0.31944444444444442</v>
      </c>
      <c r="BU2897" t="s">
        <v>3278</v>
      </c>
      <c r="BV2897" t="s">
        <v>86</v>
      </c>
      <c r="BY2897">
        <v>1200</v>
      </c>
      <c r="CA2897" t="s">
        <v>2853</v>
      </c>
      <c r="CC2897" t="s">
        <v>149</v>
      </c>
      <c r="CD2897">
        <v>2094</v>
      </c>
      <c r="CE2897" t="s">
        <v>147</v>
      </c>
      <c r="CF2897" s="3">
        <v>45958</v>
      </c>
      <c r="CI2897">
        <v>1</v>
      </c>
      <c r="CJ2897">
        <v>1</v>
      </c>
      <c r="CK2897">
        <v>22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"080068717660"</f>
        <v>080068717660</v>
      </c>
      <c r="F2898" s="3">
        <v>45954</v>
      </c>
      <c r="G2898">
        <v>202607</v>
      </c>
      <c r="H2898" t="s">
        <v>79</v>
      </c>
      <c r="I2898" t="s">
        <v>80</v>
      </c>
      <c r="J2898" t="s">
        <v>91</v>
      </c>
      <c r="K2898" t="s">
        <v>78</v>
      </c>
      <c r="L2898" t="s">
        <v>108</v>
      </c>
      <c r="M2898" t="s">
        <v>109</v>
      </c>
      <c r="N2898" t="s">
        <v>312</v>
      </c>
      <c r="O2898" t="s">
        <v>82</v>
      </c>
      <c r="P2898" t="str">
        <f>"4170065942                    "</f>
        <v xml:space="preserve">4170065942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67.03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6</v>
      </c>
      <c r="BJ2898">
        <v>3.3</v>
      </c>
      <c r="BK2898">
        <v>6</v>
      </c>
      <c r="BL2898">
        <v>212.75</v>
      </c>
      <c r="BM2898">
        <v>31.91</v>
      </c>
      <c r="BN2898">
        <v>244.66</v>
      </c>
      <c r="BO2898">
        <v>244.66</v>
      </c>
      <c r="BQ2898" t="s">
        <v>313</v>
      </c>
      <c r="BR2898" t="s">
        <v>97</v>
      </c>
      <c r="BS2898" s="3">
        <v>45957</v>
      </c>
      <c r="BT2898" s="4">
        <v>0.3840277777777778</v>
      </c>
      <c r="BU2898" t="s">
        <v>3279</v>
      </c>
      <c r="BV2898" t="s">
        <v>86</v>
      </c>
      <c r="BY2898">
        <v>16416</v>
      </c>
      <c r="CA2898" t="s">
        <v>559</v>
      </c>
      <c r="CC2898" t="s">
        <v>109</v>
      </c>
      <c r="CD2898">
        <v>6001</v>
      </c>
      <c r="CE2898" t="s">
        <v>107</v>
      </c>
      <c r="CF2898" s="3">
        <v>45957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"080068717725"</f>
        <v>080068717725</v>
      </c>
      <c r="F2899" s="3">
        <v>45954</v>
      </c>
      <c r="G2899">
        <v>202607</v>
      </c>
      <c r="H2899" t="s">
        <v>79</v>
      </c>
      <c r="I2899" t="s">
        <v>80</v>
      </c>
      <c r="J2899" t="s">
        <v>91</v>
      </c>
      <c r="K2899" t="s">
        <v>78</v>
      </c>
      <c r="L2899" t="s">
        <v>108</v>
      </c>
      <c r="M2899" t="s">
        <v>109</v>
      </c>
      <c r="N2899" t="s">
        <v>2346</v>
      </c>
      <c r="O2899" t="s">
        <v>82</v>
      </c>
      <c r="P2899" t="str">
        <f>"4170065926                    "</f>
        <v xml:space="preserve">4170065926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22.36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16.739999999999998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0.9</v>
      </c>
      <c r="BK2899">
        <v>1</v>
      </c>
      <c r="BL2899">
        <v>87.7</v>
      </c>
      <c r="BM2899">
        <v>13.16</v>
      </c>
      <c r="BN2899">
        <v>100.86</v>
      </c>
      <c r="BO2899">
        <v>100.86</v>
      </c>
      <c r="BQ2899" t="s">
        <v>2347</v>
      </c>
      <c r="BR2899" t="s">
        <v>97</v>
      </c>
      <c r="BS2899" s="3">
        <v>45957</v>
      </c>
      <c r="BT2899" s="4">
        <v>0.41805555555555557</v>
      </c>
      <c r="BU2899" t="s">
        <v>3182</v>
      </c>
      <c r="BV2899" t="s">
        <v>86</v>
      </c>
      <c r="BY2899">
        <v>4736</v>
      </c>
      <c r="BZ2899" t="s">
        <v>30</v>
      </c>
      <c r="CA2899" t="s">
        <v>142</v>
      </c>
      <c r="CC2899" t="s">
        <v>109</v>
      </c>
      <c r="CD2899">
        <v>6000</v>
      </c>
      <c r="CE2899" t="s">
        <v>107</v>
      </c>
      <c r="CF2899" s="3">
        <v>45957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"080068717774"</f>
        <v>080068717774</v>
      </c>
      <c r="F2900" s="3">
        <v>45954</v>
      </c>
      <c r="G2900">
        <v>202607</v>
      </c>
      <c r="H2900" t="s">
        <v>79</v>
      </c>
      <c r="I2900" t="s">
        <v>80</v>
      </c>
      <c r="J2900" t="s">
        <v>91</v>
      </c>
      <c r="K2900" t="s">
        <v>78</v>
      </c>
      <c r="L2900" t="s">
        <v>92</v>
      </c>
      <c r="M2900" t="s">
        <v>93</v>
      </c>
      <c r="N2900" t="s">
        <v>1876</v>
      </c>
      <c r="O2900" t="s">
        <v>95</v>
      </c>
      <c r="P2900" t="str">
        <f>"4170065889                    "</f>
        <v xml:space="preserve">4170065889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48.59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17.600000000000001</v>
      </c>
      <c r="BJ2900">
        <v>17</v>
      </c>
      <c r="BK2900">
        <v>18</v>
      </c>
      <c r="BL2900">
        <v>160.08000000000001</v>
      </c>
      <c r="BM2900">
        <v>24.01</v>
      </c>
      <c r="BN2900">
        <v>184.09</v>
      </c>
      <c r="BO2900">
        <v>184.09</v>
      </c>
      <c r="BQ2900" t="s">
        <v>1877</v>
      </c>
      <c r="BR2900" t="s">
        <v>97</v>
      </c>
      <c r="BS2900" s="3">
        <v>45957</v>
      </c>
      <c r="BT2900" s="4">
        <v>0.45208333333333334</v>
      </c>
      <c r="BU2900" t="s">
        <v>3280</v>
      </c>
      <c r="BV2900" t="s">
        <v>86</v>
      </c>
      <c r="BY2900">
        <v>84825.600000000006</v>
      </c>
      <c r="CA2900" t="s">
        <v>100</v>
      </c>
      <c r="CC2900" t="s">
        <v>93</v>
      </c>
      <c r="CD2900">
        <v>3201</v>
      </c>
      <c r="CE2900" t="s">
        <v>191</v>
      </c>
      <c r="CF2900" s="3">
        <v>45958</v>
      </c>
      <c r="CI2900">
        <v>6</v>
      </c>
      <c r="CJ2900">
        <v>1</v>
      </c>
      <c r="CK2900">
        <v>41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"080068717806"</f>
        <v>080068717806</v>
      </c>
      <c r="F2901" s="3">
        <v>45954</v>
      </c>
      <c r="G2901">
        <v>202607</v>
      </c>
      <c r="H2901" t="s">
        <v>79</v>
      </c>
      <c r="I2901" t="s">
        <v>80</v>
      </c>
      <c r="J2901" t="s">
        <v>91</v>
      </c>
      <c r="K2901" t="s">
        <v>78</v>
      </c>
      <c r="L2901" t="s">
        <v>446</v>
      </c>
      <c r="M2901" t="s">
        <v>447</v>
      </c>
      <c r="N2901" t="s">
        <v>448</v>
      </c>
      <c r="O2901" t="s">
        <v>82</v>
      </c>
      <c r="P2901" t="str">
        <f>"4170065621                    "</f>
        <v xml:space="preserve">4170065621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43.31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2</v>
      </c>
      <c r="BJ2901">
        <v>1.8</v>
      </c>
      <c r="BK2901">
        <v>2</v>
      </c>
      <c r="BL2901">
        <v>137.47</v>
      </c>
      <c r="BM2901">
        <v>20.62</v>
      </c>
      <c r="BN2901">
        <v>158.09</v>
      </c>
      <c r="BO2901">
        <v>158.09</v>
      </c>
      <c r="BQ2901" t="s">
        <v>449</v>
      </c>
      <c r="BR2901" t="s">
        <v>97</v>
      </c>
      <c r="BS2901" s="3">
        <v>45957</v>
      </c>
      <c r="BT2901" s="4">
        <v>0.49791666666666667</v>
      </c>
      <c r="BU2901" t="s">
        <v>450</v>
      </c>
      <c r="BV2901" t="s">
        <v>86</v>
      </c>
      <c r="BY2901">
        <v>8816</v>
      </c>
      <c r="CA2901" t="s">
        <v>1124</v>
      </c>
      <c r="CC2901" t="s">
        <v>447</v>
      </c>
      <c r="CD2901">
        <v>7130</v>
      </c>
      <c r="CE2901" t="s">
        <v>191</v>
      </c>
      <c r="CF2901" s="3">
        <v>45958</v>
      </c>
      <c r="CI2901">
        <v>1</v>
      </c>
      <c r="CJ2901">
        <v>1</v>
      </c>
      <c r="CK2901">
        <v>23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"080068717911"</f>
        <v>080068717911</v>
      </c>
      <c r="F2902" s="3">
        <v>45954</v>
      </c>
      <c r="G2902">
        <v>202607</v>
      </c>
      <c r="H2902" t="s">
        <v>79</v>
      </c>
      <c r="I2902" t="s">
        <v>80</v>
      </c>
      <c r="J2902" t="s">
        <v>91</v>
      </c>
      <c r="K2902" t="s">
        <v>78</v>
      </c>
      <c r="L2902" t="s">
        <v>148</v>
      </c>
      <c r="M2902" t="s">
        <v>149</v>
      </c>
      <c r="N2902" t="s">
        <v>1563</v>
      </c>
      <c r="O2902" t="s">
        <v>82</v>
      </c>
      <c r="P2902" t="str">
        <f>"4170065953                    "</f>
        <v xml:space="preserve">4170065953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17.46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3.4</v>
      </c>
      <c r="BJ2902">
        <v>1.6</v>
      </c>
      <c r="BK2902">
        <v>4</v>
      </c>
      <c r="BL2902">
        <v>55.42</v>
      </c>
      <c r="BM2902">
        <v>8.31</v>
      </c>
      <c r="BN2902">
        <v>63.73</v>
      </c>
      <c r="BO2902">
        <v>63.73</v>
      </c>
      <c r="BQ2902" t="s">
        <v>1564</v>
      </c>
      <c r="BR2902" t="s">
        <v>97</v>
      </c>
      <c r="BS2902" s="3">
        <v>45957</v>
      </c>
      <c r="BT2902" s="4">
        <v>0.31944444444444442</v>
      </c>
      <c r="BU2902" t="s">
        <v>2410</v>
      </c>
      <c r="BV2902" t="s">
        <v>86</v>
      </c>
      <c r="BY2902">
        <v>8010</v>
      </c>
      <c r="CA2902" t="s">
        <v>2853</v>
      </c>
      <c r="CC2902" t="s">
        <v>149</v>
      </c>
      <c r="CD2902">
        <v>2094</v>
      </c>
      <c r="CE2902" t="s">
        <v>191</v>
      </c>
      <c r="CF2902" s="3">
        <v>45958</v>
      </c>
      <c r="CI2902">
        <v>1</v>
      </c>
      <c r="CJ2902">
        <v>1</v>
      </c>
      <c r="CK2902">
        <v>22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"080068717926"</f>
        <v>080068717926</v>
      </c>
      <c r="F2903" s="3">
        <v>45954</v>
      </c>
      <c r="G2903">
        <v>202607</v>
      </c>
      <c r="H2903" t="s">
        <v>79</v>
      </c>
      <c r="I2903" t="s">
        <v>80</v>
      </c>
      <c r="J2903" t="s">
        <v>91</v>
      </c>
      <c r="K2903" t="s">
        <v>78</v>
      </c>
      <c r="L2903" t="s">
        <v>710</v>
      </c>
      <c r="M2903" t="s">
        <v>711</v>
      </c>
      <c r="N2903" t="s">
        <v>3222</v>
      </c>
      <c r="O2903" t="s">
        <v>82</v>
      </c>
      <c r="P2903" t="str">
        <f>"4170065943                    "</f>
        <v xml:space="preserve">4170065943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22.36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1.2</v>
      </c>
      <c r="BK2903">
        <v>1.5</v>
      </c>
      <c r="BL2903">
        <v>70.959999999999994</v>
      </c>
      <c r="BM2903">
        <v>10.64</v>
      </c>
      <c r="BN2903">
        <v>81.599999999999994</v>
      </c>
      <c r="BO2903">
        <v>81.599999999999994</v>
      </c>
      <c r="BQ2903" t="s">
        <v>3223</v>
      </c>
      <c r="BR2903" t="s">
        <v>97</v>
      </c>
      <c r="BS2903" s="3">
        <v>45957</v>
      </c>
      <c r="BT2903" s="4">
        <v>0.43680555555555556</v>
      </c>
      <c r="BU2903" t="s">
        <v>3281</v>
      </c>
      <c r="BV2903" t="s">
        <v>86</v>
      </c>
      <c r="BY2903">
        <v>5760</v>
      </c>
      <c r="CA2903" t="s">
        <v>859</v>
      </c>
      <c r="CC2903" t="s">
        <v>711</v>
      </c>
      <c r="CD2903">
        <v>4126</v>
      </c>
      <c r="CE2903" t="s">
        <v>107</v>
      </c>
      <c r="CF2903" s="3">
        <v>45958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"080068717935"</f>
        <v>080068717935</v>
      </c>
      <c r="F2904" s="3">
        <v>45954</v>
      </c>
      <c r="G2904">
        <v>202607</v>
      </c>
      <c r="H2904" t="s">
        <v>79</v>
      </c>
      <c r="I2904" t="s">
        <v>80</v>
      </c>
      <c r="J2904" t="s">
        <v>91</v>
      </c>
      <c r="K2904" t="s">
        <v>78</v>
      </c>
      <c r="L2904" t="s">
        <v>985</v>
      </c>
      <c r="M2904" t="s">
        <v>986</v>
      </c>
      <c r="N2904" t="s">
        <v>1409</v>
      </c>
      <c r="O2904" t="s">
        <v>82</v>
      </c>
      <c r="P2904" t="str">
        <f>"4170065931                    "</f>
        <v xml:space="preserve">4170065931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22.36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70.959999999999994</v>
      </c>
      <c r="BM2904">
        <v>10.64</v>
      </c>
      <c r="BN2904">
        <v>81.599999999999994</v>
      </c>
      <c r="BO2904">
        <v>81.599999999999994</v>
      </c>
      <c r="BQ2904" t="s">
        <v>1410</v>
      </c>
      <c r="BR2904" t="s">
        <v>97</v>
      </c>
      <c r="BS2904" s="3">
        <v>45957</v>
      </c>
      <c r="BT2904" s="4">
        <v>0.41666666666666669</v>
      </c>
      <c r="BU2904" t="s">
        <v>3282</v>
      </c>
      <c r="BV2904" t="s">
        <v>86</v>
      </c>
      <c r="BY2904">
        <v>1200</v>
      </c>
      <c r="CC2904" t="s">
        <v>986</v>
      </c>
      <c r="CD2904">
        <v>7600</v>
      </c>
      <c r="CE2904" t="s">
        <v>147</v>
      </c>
      <c r="CF2904" s="3">
        <v>45958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"080068717980"</f>
        <v>080068717980</v>
      </c>
      <c r="F2905" s="3">
        <v>45954</v>
      </c>
      <c r="G2905">
        <v>202607</v>
      </c>
      <c r="H2905" t="s">
        <v>79</v>
      </c>
      <c r="I2905" t="s">
        <v>80</v>
      </c>
      <c r="J2905" t="s">
        <v>91</v>
      </c>
      <c r="K2905" t="s">
        <v>78</v>
      </c>
      <c r="L2905" t="s">
        <v>108</v>
      </c>
      <c r="M2905" t="s">
        <v>109</v>
      </c>
      <c r="N2905" t="s">
        <v>842</v>
      </c>
      <c r="O2905" t="s">
        <v>82</v>
      </c>
      <c r="P2905" t="str">
        <f>"4170065628                    "</f>
        <v xml:space="preserve">4170065628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67.03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2</v>
      </c>
      <c r="BI2905">
        <v>6</v>
      </c>
      <c r="BJ2905">
        <v>3.4</v>
      </c>
      <c r="BK2905">
        <v>6</v>
      </c>
      <c r="BL2905">
        <v>212.75</v>
      </c>
      <c r="BM2905">
        <v>31.91</v>
      </c>
      <c r="BN2905">
        <v>244.66</v>
      </c>
      <c r="BO2905">
        <v>244.66</v>
      </c>
      <c r="BQ2905" t="s">
        <v>843</v>
      </c>
      <c r="BR2905" t="s">
        <v>97</v>
      </c>
      <c r="BS2905" s="3">
        <v>45957</v>
      </c>
      <c r="BT2905" s="4">
        <v>0.42083333333333334</v>
      </c>
      <c r="BU2905" t="s">
        <v>1617</v>
      </c>
      <c r="BV2905" t="s">
        <v>86</v>
      </c>
      <c r="BY2905">
        <v>17127</v>
      </c>
      <c r="CA2905" t="s">
        <v>1090</v>
      </c>
      <c r="CC2905" t="s">
        <v>109</v>
      </c>
      <c r="CD2905">
        <v>6012</v>
      </c>
      <c r="CE2905" t="s">
        <v>191</v>
      </c>
      <c r="CF2905" s="3">
        <v>45957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"080068718069"</f>
        <v>080068718069</v>
      </c>
      <c r="F2906" s="3">
        <v>45954</v>
      </c>
      <c r="G2906">
        <v>202607</v>
      </c>
      <c r="H2906" t="s">
        <v>79</v>
      </c>
      <c r="I2906" t="s">
        <v>80</v>
      </c>
      <c r="J2906" t="s">
        <v>91</v>
      </c>
      <c r="K2906" t="s">
        <v>78</v>
      </c>
      <c r="L2906" t="s">
        <v>453</v>
      </c>
      <c r="M2906" t="s">
        <v>454</v>
      </c>
      <c r="N2906" t="s">
        <v>3283</v>
      </c>
      <c r="O2906" t="s">
        <v>82</v>
      </c>
      <c r="P2906" t="str">
        <f>"4170066007                    "</f>
        <v xml:space="preserve">4170066007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22.36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70.959999999999994</v>
      </c>
      <c r="BM2906">
        <v>10.64</v>
      </c>
      <c r="BN2906">
        <v>81.599999999999994</v>
      </c>
      <c r="BO2906">
        <v>81.599999999999994</v>
      </c>
      <c r="BQ2906" t="s">
        <v>3284</v>
      </c>
      <c r="BR2906" t="s">
        <v>97</v>
      </c>
      <c r="BS2906" s="3">
        <v>45957</v>
      </c>
      <c r="BT2906" s="4">
        <v>0.49861111111111112</v>
      </c>
      <c r="BU2906" t="s">
        <v>3285</v>
      </c>
      <c r="BV2906" t="s">
        <v>86</v>
      </c>
      <c r="BY2906">
        <v>1200</v>
      </c>
      <c r="CA2906" t="s">
        <v>742</v>
      </c>
      <c r="CC2906" t="s">
        <v>454</v>
      </c>
      <c r="CD2906">
        <v>3610</v>
      </c>
      <c r="CE2906" t="s">
        <v>147</v>
      </c>
      <c r="CF2906" s="3">
        <v>45958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"080068718094"</f>
        <v>080068718094</v>
      </c>
      <c r="F2907" s="3">
        <v>45954</v>
      </c>
      <c r="G2907">
        <v>202607</v>
      </c>
      <c r="H2907" t="s">
        <v>79</v>
      </c>
      <c r="I2907" t="s">
        <v>80</v>
      </c>
      <c r="J2907" t="s">
        <v>91</v>
      </c>
      <c r="K2907" t="s">
        <v>78</v>
      </c>
      <c r="L2907" t="s">
        <v>108</v>
      </c>
      <c r="M2907" t="s">
        <v>109</v>
      </c>
      <c r="N2907" t="s">
        <v>548</v>
      </c>
      <c r="O2907" t="s">
        <v>82</v>
      </c>
      <c r="P2907" t="str">
        <f>"4170065675                    "</f>
        <v xml:space="preserve">4170065675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55.86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5</v>
      </c>
      <c r="BJ2907">
        <v>3.1</v>
      </c>
      <c r="BK2907">
        <v>5</v>
      </c>
      <c r="BL2907">
        <v>177.3</v>
      </c>
      <c r="BM2907">
        <v>26.6</v>
      </c>
      <c r="BN2907">
        <v>203.9</v>
      </c>
      <c r="BO2907">
        <v>203.9</v>
      </c>
      <c r="BQ2907" t="s">
        <v>549</v>
      </c>
      <c r="BR2907" t="s">
        <v>97</v>
      </c>
      <c r="BS2907" s="3">
        <v>45957</v>
      </c>
      <c r="BT2907" s="4">
        <v>0.3888888888888889</v>
      </c>
      <c r="BU2907" t="s">
        <v>1710</v>
      </c>
      <c r="BV2907" t="s">
        <v>86</v>
      </c>
      <c r="BY2907">
        <v>15288</v>
      </c>
      <c r="CA2907" t="s">
        <v>1090</v>
      </c>
      <c r="CC2907" t="s">
        <v>109</v>
      </c>
      <c r="CD2907">
        <v>6001</v>
      </c>
      <c r="CE2907" t="s">
        <v>107</v>
      </c>
      <c r="CF2907" s="3">
        <v>45957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"080068718264"</f>
        <v>080068718264</v>
      </c>
      <c r="F2908" s="3">
        <v>45954</v>
      </c>
      <c r="G2908">
        <v>202607</v>
      </c>
      <c r="H2908" t="s">
        <v>79</v>
      </c>
      <c r="I2908" t="s">
        <v>80</v>
      </c>
      <c r="J2908" t="s">
        <v>91</v>
      </c>
      <c r="K2908" t="s">
        <v>78</v>
      </c>
      <c r="L2908" t="s">
        <v>233</v>
      </c>
      <c r="M2908" t="s">
        <v>234</v>
      </c>
      <c r="N2908" t="s">
        <v>3286</v>
      </c>
      <c r="O2908" t="s">
        <v>82</v>
      </c>
      <c r="P2908" t="str">
        <f>"4170065999                    "</f>
        <v xml:space="preserve">4170065999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22.36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70.959999999999994</v>
      </c>
      <c r="BM2908">
        <v>10.64</v>
      </c>
      <c r="BN2908">
        <v>81.599999999999994</v>
      </c>
      <c r="BO2908">
        <v>81.599999999999994</v>
      </c>
      <c r="BQ2908" t="s">
        <v>3287</v>
      </c>
      <c r="BR2908" t="s">
        <v>97</v>
      </c>
      <c r="BS2908" s="3">
        <v>45957</v>
      </c>
      <c r="BT2908" s="4">
        <v>0.3527777777777778</v>
      </c>
      <c r="BU2908" t="s">
        <v>3288</v>
      </c>
      <c r="BV2908" t="s">
        <v>86</v>
      </c>
      <c r="BY2908">
        <v>1200</v>
      </c>
      <c r="CA2908">
        <v>7608086373085</v>
      </c>
      <c r="CC2908" t="s">
        <v>234</v>
      </c>
      <c r="CD2908" s="5" t="s">
        <v>238</v>
      </c>
      <c r="CE2908" t="s">
        <v>147</v>
      </c>
      <c r="CF2908" s="3">
        <v>45957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"080068718289"</f>
        <v>080068718289</v>
      </c>
      <c r="F2909" s="3">
        <v>45954</v>
      </c>
      <c r="G2909">
        <v>202607</v>
      </c>
      <c r="H2909" t="s">
        <v>79</v>
      </c>
      <c r="I2909" t="s">
        <v>80</v>
      </c>
      <c r="J2909" t="s">
        <v>91</v>
      </c>
      <c r="K2909" t="s">
        <v>78</v>
      </c>
      <c r="L2909" t="s">
        <v>530</v>
      </c>
      <c r="M2909" t="s">
        <v>531</v>
      </c>
      <c r="N2909" t="s">
        <v>532</v>
      </c>
      <c r="O2909" t="s">
        <v>82</v>
      </c>
      <c r="P2909" t="str">
        <f>"4170065996                    "</f>
        <v xml:space="preserve">4170065996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43.31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137.47</v>
      </c>
      <c r="BM2909">
        <v>20.62</v>
      </c>
      <c r="BN2909">
        <v>158.09</v>
      </c>
      <c r="BO2909">
        <v>158.09</v>
      </c>
      <c r="BQ2909" t="s">
        <v>533</v>
      </c>
      <c r="BR2909" t="s">
        <v>97</v>
      </c>
      <c r="BS2909" s="3">
        <v>45957</v>
      </c>
      <c r="BT2909" s="4">
        <v>0.51458333333333328</v>
      </c>
      <c r="BU2909" t="s">
        <v>534</v>
      </c>
      <c r="BV2909" t="s">
        <v>86</v>
      </c>
      <c r="BY2909">
        <v>1200</v>
      </c>
      <c r="CA2909" t="s">
        <v>535</v>
      </c>
      <c r="CC2909" t="s">
        <v>531</v>
      </c>
      <c r="CD2909">
        <v>6850</v>
      </c>
      <c r="CE2909" t="s">
        <v>147</v>
      </c>
      <c r="CF2909" s="3">
        <v>45958</v>
      </c>
      <c r="CI2909">
        <v>2</v>
      </c>
      <c r="CJ2909">
        <v>1</v>
      </c>
      <c r="CK2909">
        <v>23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"080068718329"</f>
        <v>080068718329</v>
      </c>
      <c r="F2910" s="3">
        <v>45954</v>
      </c>
      <c r="G2910">
        <v>202607</v>
      </c>
      <c r="H2910" t="s">
        <v>79</v>
      </c>
      <c r="I2910" t="s">
        <v>80</v>
      </c>
      <c r="J2910" t="s">
        <v>91</v>
      </c>
      <c r="K2910" t="s">
        <v>78</v>
      </c>
      <c r="L2910" t="s">
        <v>265</v>
      </c>
      <c r="M2910" t="s">
        <v>266</v>
      </c>
      <c r="N2910" t="s">
        <v>536</v>
      </c>
      <c r="O2910" t="s">
        <v>82</v>
      </c>
      <c r="P2910" t="str">
        <f>"4170065917                    "</f>
        <v xml:space="preserve">4170065917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22.36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70.959999999999994</v>
      </c>
      <c r="BM2910">
        <v>10.64</v>
      </c>
      <c r="BN2910">
        <v>81.599999999999994</v>
      </c>
      <c r="BO2910">
        <v>81.599999999999994</v>
      </c>
      <c r="BQ2910" t="s">
        <v>537</v>
      </c>
      <c r="BR2910" t="s">
        <v>97</v>
      </c>
      <c r="BS2910" s="3">
        <v>45957</v>
      </c>
      <c r="BT2910" s="4">
        <v>0.33402777777777776</v>
      </c>
      <c r="BU2910" t="s">
        <v>2930</v>
      </c>
      <c r="BV2910" t="s">
        <v>86</v>
      </c>
      <c r="BY2910">
        <v>1200</v>
      </c>
      <c r="CA2910" t="s">
        <v>818</v>
      </c>
      <c r="CC2910" t="s">
        <v>266</v>
      </c>
      <c r="CD2910">
        <v>6230</v>
      </c>
      <c r="CE2910" t="s">
        <v>147</v>
      </c>
      <c r="CF2910" s="3">
        <v>45957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"080068719079"</f>
        <v>080068719079</v>
      </c>
      <c r="F2911" s="3">
        <v>45954</v>
      </c>
      <c r="G2911">
        <v>202607</v>
      </c>
      <c r="H2911" t="s">
        <v>79</v>
      </c>
      <c r="I2911" t="s">
        <v>80</v>
      </c>
      <c r="J2911" t="s">
        <v>91</v>
      </c>
      <c r="K2911" t="s">
        <v>78</v>
      </c>
      <c r="L2911" t="s">
        <v>148</v>
      </c>
      <c r="M2911" t="s">
        <v>149</v>
      </c>
      <c r="N2911" t="s">
        <v>2427</v>
      </c>
      <c r="O2911" t="s">
        <v>82</v>
      </c>
      <c r="P2911" t="str">
        <f>"4170066000                    "</f>
        <v xml:space="preserve">4170066000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17.46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55.42</v>
      </c>
      <c r="BM2911">
        <v>8.31</v>
      </c>
      <c r="BN2911">
        <v>63.73</v>
      </c>
      <c r="BO2911">
        <v>63.73</v>
      </c>
      <c r="BQ2911" t="s">
        <v>2428</v>
      </c>
      <c r="BR2911" t="s">
        <v>97</v>
      </c>
      <c r="BS2911" s="3">
        <v>45957</v>
      </c>
      <c r="BT2911" s="4">
        <v>0.33333333333333331</v>
      </c>
      <c r="BU2911" t="s">
        <v>2360</v>
      </c>
      <c r="BV2911" t="s">
        <v>86</v>
      </c>
      <c r="BY2911">
        <v>1200</v>
      </c>
      <c r="CA2911" t="s">
        <v>1463</v>
      </c>
      <c r="CC2911" t="s">
        <v>149</v>
      </c>
      <c r="CD2911">
        <v>2190</v>
      </c>
      <c r="CE2911" t="s">
        <v>147</v>
      </c>
      <c r="CF2911" s="3">
        <v>45957</v>
      </c>
      <c r="CI2911">
        <v>1</v>
      </c>
      <c r="CJ2911">
        <v>1</v>
      </c>
      <c r="CK2911">
        <v>22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"080068719099"</f>
        <v>080068719099</v>
      </c>
      <c r="F2912" s="3">
        <v>45954</v>
      </c>
      <c r="G2912">
        <v>202607</v>
      </c>
      <c r="H2912" t="s">
        <v>79</v>
      </c>
      <c r="I2912" t="s">
        <v>80</v>
      </c>
      <c r="J2912" t="s">
        <v>91</v>
      </c>
      <c r="K2912" t="s">
        <v>78</v>
      </c>
      <c r="L2912" t="s">
        <v>206</v>
      </c>
      <c r="M2912" t="s">
        <v>207</v>
      </c>
      <c r="N2912" t="s">
        <v>208</v>
      </c>
      <c r="O2912" t="s">
        <v>82</v>
      </c>
      <c r="P2912" t="str">
        <f>"4170065933                    "</f>
        <v xml:space="preserve">4170065933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22.36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70.959999999999994</v>
      </c>
      <c r="BM2912">
        <v>10.64</v>
      </c>
      <c r="BN2912">
        <v>81.599999999999994</v>
      </c>
      <c r="BO2912">
        <v>81.599999999999994</v>
      </c>
      <c r="BQ2912" t="s">
        <v>209</v>
      </c>
      <c r="BR2912" t="s">
        <v>97</v>
      </c>
      <c r="BS2912" s="3">
        <v>45957</v>
      </c>
      <c r="BT2912" s="4">
        <v>0.37708333333333333</v>
      </c>
      <c r="BU2912" t="s">
        <v>1732</v>
      </c>
      <c r="BV2912" t="s">
        <v>86</v>
      </c>
      <c r="BY2912">
        <v>1200</v>
      </c>
      <c r="CA2912" t="s">
        <v>211</v>
      </c>
      <c r="CC2912" t="s">
        <v>207</v>
      </c>
      <c r="CD2912">
        <v>7441</v>
      </c>
      <c r="CE2912" t="s">
        <v>147</v>
      </c>
      <c r="CF2912" s="3">
        <v>45958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"080068719144"</f>
        <v>080068719144</v>
      </c>
      <c r="F2913" s="3">
        <v>45954</v>
      </c>
      <c r="G2913">
        <v>202607</v>
      </c>
      <c r="H2913" t="s">
        <v>79</v>
      </c>
      <c r="I2913" t="s">
        <v>80</v>
      </c>
      <c r="J2913" t="s">
        <v>91</v>
      </c>
      <c r="K2913" t="s">
        <v>78</v>
      </c>
      <c r="L2913" t="s">
        <v>92</v>
      </c>
      <c r="M2913" t="s">
        <v>93</v>
      </c>
      <c r="N2913" t="s">
        <v>601</v>
      </c>
      <c r="O2913" t="s">
        <v>82</v>
      </c>
      <c r="P2913" t="str">
        <f>"4170066027                    "</f>
        <v xml:space="preserve">4170066027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72.62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6.3</v>
      </c>
      <c r="BJ2913">
        <v>3.9</v>
      </c>
      <c r="BK2913">
        <v>6.5</v>
      </c>
      <c r="BL2913">
        <v>230.48</v>
      </c>
      <c r="BM2913">
        <v>34.57</v>
      </c>
      <c r="BN2913">
        <v>265.05</v>
      </c>
      <c r="BO2913">
        <v>265.05</v>
      </c>
      <c r="BQ2913" t="s">
        <v>602</v>
      </c>
      <c r="BR2913" t="s">
        <v>97</v>
      </c>
      <c r="BS2913" s="3">
        <v>45957</v>
      </c>
      <c r="BT2913" s="4">
        <v>0.54513888888888884</v>
      </c>
      <c r="BU2913" t="s">
        <v>852</v>
      </c>
      <c r="BV2913" t="s">
        <v>86</v>
      </c>
      <c r="BY2913">
        <v>19522.48</v>
      </c>
      <c r="CC2913" t="s">
        <v>93</v>
      </c>
      <c r="CD2913">
        <v>3212</v>
      </c>
      <c r="CE2913" t="s">
        <v>191</v>
      </c>
      <c r="CF2913" s="3">
        <v>45958</v>
      </c>
      <c r="CI2913">
        <v>2</v>
      </c>
      <c r="CJ2913">
        <v>1</v>
      </c>
      <c r="CK2913">
        <v>21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"080068719179"</f>
        <v>080068719179</v>
      </c>
      <c r="F2914" s="3">
        <v>45954</v>
      </c>
      <c r="G2914">
        <v>202607</v>
      </c>
      <c r="H2914" t="s">
        <v>79</v>
      </c>
      <c r="I2914" t="s">
        <v>80</v>
      </c>
      <c r="J2914" t="s">
        <v>91</v>
      </c>
      <c r="K2914" t="s">
        <v>78</v>
      </c>
      <c r="L2914" t="s">
        <v>195</v>
      </c>
      <c r="M2914" t="s">
        <v>196</v>
      </c>
      <c r="N2914" t="s">
        <v>2287</v>
      </c>
      <c r="O2914" t="s">
        <v>82</v>
      </c>
      <c r="P2914" t="str">
        <f>"4170065987                    "</f>
        <v xml:space="preserve">4170065987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82.43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3.9</v>
      </c>
      <c r="BJ2914">
        <v>1.7</v>
      </c>
      <c r="BK2914">
        <v>4</v>
      </c>
      <c r="BL2914">
        <v>261.63</v>
      </c>
      <c r="BM2914">
        <v>39.24</v>
      </c>
      <c r="BN2914">
        <v>300.87</v>
      </c>
      <c r="BO2914">
        <v>300.87</v>
      </c>
      <c r="BQ2914" t="s">
        <v>2288</v>
      </c>
      <c r="BR2914" t="s">
        <v>97</v>
      </c>
      <c r="BS2914" s="3">
        <v>45957</v>
      </c>
      <c r="BT2914" s="4">
        <v>0.4375</v>
      </c>
      <c r="BU2914" t="s">
        <v>3289</v>
      </c>
      <c r="BV2914" t="s">
        <v>86</v>
      </c>
      <c r="BY2914">
        <v>8602.5</v>
      </c>
      <c r="CA2914" t="s">
        <v>200</v>
      </c>
      <c r="CC2914" t="s">
        <v>196</v>
      </c>
      <c r="CD2914">
        <v>1911</v>
      </c>
      <c r="CE2914" t="s">
        <v>191</v>
      </c>
      <c r="CF2914" s="3">
        <v>45958</v>
      </c>
      <c r="CI2914">
        <v>1</v>
      </c>
      <c r="CJ2914">
        <v>1</v>
      </c>
      <c r="CK2914">
        <v>23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"080068719208"</f>
        <v>080068719208</v>
      </c>
      <c r="F2915" s="3">
        <v>45954</v>
      </c>
      <c r="G2915">
        <v>202607</v>
      </c>
      <c r="H2915" t="s">
        <v>79</v>
      </c>
      <c r="I2915" t="s">
        <v>80</v>
      </c>
      <c r="J2915" t="s">
        <v>91</v>
      </c>
      <c r="K2915" t="s">
        <v>78</v>
      </c>
      <c r="L2915" t="s">
        <v>108</v>
      </c>
      <c r="M2915" t="s">
        <v>109</v>
      </c>
      <c r="N2915" t="s">
        <v>3290</v>
      </c>
      <c r="O2915" t="s">
        <v>82</v>
      </c>
      <c r="P2915" t="str">
        <f>"4170065989                    "</f>
        <v xml:space="preserve">4170065989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156.38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14</v>
      </c>
      <c r="BJ2915">
        <v>6.5</v>
      </c>
      <c r="BK2915">
        <v>14</v>
      </c>
      <c r="BL2915">
        <v>496.34</v>
      </c>
      <c r="BM2915">
        <v>74.45</v>
      </c>
      <c r="BN2915">
        <v>570.79</v>
      </c>
      <c r="BO2915">
        <v>570.79</v>
      </c>
      <c r="BQ2915" t="s">
        <v>3291</v>
      </c>
      <c r="BR2915" t="s">
        <v>97</v>
      </c>
      <c r="BS2915" s="3">
        <v>45957</v>
      </c>
      <c r="BT2915" s="4">
        <v>0.39583333333333331</v>
      </c>
      <c r="BU2915" t="s">
        <v>3292</v>
      </c>
      <c r="BV2915" t="s">
        <v>86</v>
      </c>
      <c r="BY2915">
        <v>32625</v>
      </c>
      <c r="CA2915" t="s">
        <v>559</v>
      </c>
      <c r="CC2915" t="s">
        <v>109</v>
      </c>
      <c r="CD2915">
        <v>6001</v>
      </c>
      <c r="CE2915" t="s">
        <v>1319</v>
      </c>
      <c r="CF2915" s="3">
        <v>45957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"080068719327"</f>
        <v>080068719327</v>
      </c>
      <c r="F2916" s="3">
        <v>45954</v>
      </c>
      <c r="G2916">
        <v>202607</v>
      </c>
      <c r="H2916" t="s">
        <v>79</v>
      </c>
      <c r="I2916" t="s">
        <v>80</v>
      </c>
      <c r="J2916" t="s">
        <v>91</v>
      </c>
      <c r="K2916" t="s">
        <v>78</v>
      </c>
      <c r="L2916" t="s">
        <v>108</v>
      </c>
      <c r="M2916" t="s">
        <v>109</v>
      </c>
      <c r="N2916" t="s">
        <v>938</v>
      </c>
      <c r="O2916" t="s">
        <v>82</v>
      </c>
      <c r="P2916" t="str">
        <f>"4170065879                    "</f>
        <v xml:space="preserve">4170065879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22.36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70.959999999999994</v>
      </c>
      <c r="BM2916">
        <v>10.64</v>
      </c>
      <c r="BN2916">
        <v>81.599999999999994</v>
      </c>
      <c r="BO2916">
        <v>81.599999999999994</v>
      </c>
      <c r="BQ2916" t="s">
        <v>939</v>
      </c>
      <c r="BR2916" t="s">
        <v>97</v>
      </c>
      <c r="BS2916" s="3">
        <v>45957</v>
      </c>
      <c r="BT2916" s="4">
        <v>0.4152777777777778</v>
      </c>
      <c r="BU2916" t="s">
        <v>3293</v>
      </c>
      <c r="BV2916" t="s">
        <v>86</v>
      </c>
      <c r="BY2916">
        <v>1200</v>
      </c>
      <c r="CA2916" t="s">
        <v>1145</v>
      </c>
      <c r="CC2916" t="s">
        <v>109</v>
      </c>
      <c r="CD2916">
        <v>6056</v>
      </c>
      <c r="CE2916" t="s">
        <v>1955</v>
      </c>
      <c r="CF2916" s="3">
        <v>45957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"080068719354"</f>
        <v>080068719354</v>
      </c>
      <c r="F2917" s="3">
        <v>45954</v>
      </c>
      <c r="G2917">
        <v>202607</v>
      </c>
      <c r="H2917" t="s">
        <v>79</v>
      </c>
      <c r="I2917" t="s">
        <v>80</v>
      </c>
      <c r="J2917" t="s">
        <v>91</v>
      </c>
      <c r="K2917" t="s">
        <v>78</v>
      </c>
      <c r="L2917" t="s">
        <v>108</v>
      </c>
      <c r="M2917" t="s">
        <v>109</v>
      </c>
      <c r="N2917" t="s">
        <v>315</v>
      </c>
      <c r="O2917" t="s">
        <v>82</v>
      </c>
      <c r="P2917" t="str">
        <f>"4170066008                    "</f>
        <v xml:space="preserve">4170066008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22.36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70.959999999999994</v>
      </c>
      <c r="BM2917">
        <v>10.64</v>
      </c>
      <c r="BN2917">
        <v>81.599999999999994</v>
      </c>
      <c r="BO2917">
        <v>81.599999999999994</v>
      </c>
      <c r="BQ2917" t="s">
        <v>316</v>
      </c>
      <c r="BR2917" t="s">
        <v>97</v>
      </c>
      <c r="BS2917" s="3">
        <v>45957</v>
      </c>
      <c r="BT2917" s="4">
        <v>0.42777777777777776</v>
      </c>
      <c r="BU2917" t="s">
        <v>3294</v>
      </c>
      <c r="BV2917" t="s">
        <v>86</v>
      </c>
      <c r="BY2917">
        <v>1200</v>
      </c>
      <c r="CA2917" t="s">
        <v>1070</v>
      </c>
      <c r="CC2917" t="s">
        <v>109</v>
      </c>
      <c r="CD2917">
        <v>6045</v>
      </c>
      <c r="CE2917" t="s">
        <v>147</v>
      </c>
      <c r="CF2917" s="3">
        <v>45957</v>
      </c>
      <c r="CI2917">
        <v>1</v>
      </c>
      <c r="CJ2917">
        <v>1</v>
      </c>
      <c r="CK2917">
        <v>21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"080068719377"</f>
        <v>080068719377</v>
      </c>
      <c r="F2918" s="3">
        <v>45954</v>
      </c>
      <c r="G2918">
        <v>202607</v>
      </c>
      <c r="H2918" t="s">
        <v>79</v>
      </c>
      <c r="I2918" t="s">
        <v>80</v>
      </c>
      <c r="J2918" t="s">
        <v>91</v>
      </c>
      <c r="K2918" t="s">
        <v>78</v>
      </c>
      <c r="L2918" t="s">
        <v>959</v>
      </c>
      <c r="M2918" t="s">
        <v>960</v>
      </c>
      <c r="N2918" t="s">
        <v>961</v>
      </c>
      <c r="O2918" t="s">
        <v>82</v>
      </c>
      <c r="P2918" t="str">
        <f>"4170065968                    "</f>
        <v xml:space="preserve">4170065968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43.31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137.47</v>
      </c>
      <c r="BM2918">
        <v>20.62</v>
      </c>
      <c r="BN2918">
        <v>158.09</v>
      </c>
      <c r="BO2918">
        <v>158.09</v>
      </c>
      <c r="BQ2918" t="s">
        <v>962</v>
      </c>
      <c r="BR2918" t="s">
        <v>97</v>
      </c>
      <c r="BS2918" s="3">
        <v>45958</v>
      </c>
      <c r="BT2918" s="4">
        <v>0.33333333333333331</v>
      </c>
      <c r="BU2918" t="s">
        <v>304</v>
      </c>
      <c r="BV2918" t="s">
        <v>86</v>
      </c>
      <c r="BY2918">
        <v>1200</v>
      </c>
      <c r="CA2918" t="s">
        <v>1125</v>
      </c>
      <c r="CC2918" t="s">
        <v>960</v>
      </c>
      <c r="CD2918">
        <v>6300</v>
      </c>
      <c r="CE2918" t="s">
        <v>147</v>
      </c>
      <c r="CF2918" s="3">
        <v>45958</v>
      </c>
      <c r="CI2918">
        <v>2</v>
      </c>
      <c r="CJ2918">
        <v>2</v>
      </c>
      <c r="CK2918">
        <v>23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"080068719414"</f>
        <v>080068719414</v>
      </c>
      <c r="F2919" s="3">
        <v>45954</v>
      </c>
      <c r="G2919">
        <v>202607</v>
      </c>
      <c r="H2919" t="s">
        <v>79</v>
      </c>
      <c r="I2919" t="s">
        <v>80</v>
      </c>
      <c r="J2919" t="s">
        <v>91</v>
      </c>
      <c r="K2919" t="s">
        <v>78</v>
      </c>
      <c r="L2919" t="s">
        <v>763</v>
      </c>
      <c r="M2919" t="s">
        <v>764</v>
      </c>
      <c r="N2919" t="s">
        <v>765</v>
      </c>
      <c r="O2919" t="s">
        <v>82</v>
      </c>
      <c r="P2919" t="str">
        <f>"4170065863                    "</f>
        <v xml:space="preserve">4170065863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375.82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18.7</v>
      </c>
      <c r="BJ2919">
        <v>9.8000000000000007</v>
      </c>
      <c r="BK2919">
        <v>19</v>
      </c>
      <c r="BL2919">
        <v>1192.82</v>
      </c>
      <c r="BM2919">
        <v>178.92</v>
      </c>
      <c r="BN2919">
        <v>1371.74</v>
      </c>
      <c r="BO2919">
        <v>1371.74</v>
      </c>
      <c r="BQ2919" t="s">
        <v>766</v>
      </c>
      <c r="BR2919" t="s">
        <v>97</v>
      </c>
      <c r="BS2919" s="3">
        <v>45957</v>
      </c>
      <c r="BT2919" s="4">
        <v>0.4777777777777778</v>
      </c>
      <c r="BU2919" t="s">
        <v>1003</v>
      </c>
      <c r="BV2919" t="s">
        <v>86</v>
      </c>
      <c r="BY2919">
        <v>48947.360000000001</v>
      </c>
      <c r="CA2919" t="s">
        <v>768</v>
      </c>
      <c r="CC2919" t="s">
        <v>764</v>
      </c>
      <c r="CD2919">
        <v>2531</v>
      </c>
      <c r="CE2919" t="s">
        <v>191</v>
      </c>
      <c r="CF2919" s="3">
        <v>45958</v>
      </c>
      <c r="CI2919">
        <v>1</v>
      </c>
      <c r="CJ2919">
        <v>1</v>
      </c>
      <c r="CK2919">
        <v>23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"080068719443"</f>
        <v>080068719443</v>
      </c>
      <c r="F2920" s="3">
        <v>45954</v>
      </c>
      <c r="G2920">
        <v>202607</v>
      </c>
      <c r="H2920" t="s">
        <v>79</v>
      </c>
      <c r="I2920" t="s">
        <v>80</v>
      </c>
      <c r="J2920" t="s">
        <v>91</v>
      </c>
      <c r="K2920" t="s">
        <v>78</v>
      </c>
      <c r="L2920" t="s">
        <v>168</v>
      </c>
      <c r="M2920" t="s">
        <v>169</v>
      </c>
      <c r="N2920" t="s">
        <v>873</v>
      </c>
      <c r="O2920" t="s">
        <v>95</v>
      </c>
      <c r="P2920" t="str">
        <f>"4170065967                    "</f>
        <v xml:space="preserve">4170065967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43.23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4.0999999999999996</v>
      </c>
      <c r="BJ2920">
        <v>3.2</v>
      </c>
      <c r="BK2920">
        <v>5</v>
      </c>
      <c r="BL2920">
        <v>143.08000000000001</v>
      </c>
      <c r="BM2920">
        <v>21.46</v>
      </c>
      <c r="BN2920">
        <v>164.54</v>
      </c>
      <c r="BO2920">
        <v>164.54</v>
      </c>
      <c r="BQ2920" t="s">
        <v>874</v>
      </c>
      <c r="BR2920" t="s">
        <v>97</v>
      </c>
      <c r="BS2920" s="3">
        <v>45958</v>
      </c>
      <c r="BT2920" s="4">
        <v>0.68958333333333333</v>
      </c>
      <c r="BU2920" t="s">
        <v>3295</v>
      </c>
      <c r="BV2920" t="s">
        <v>90</v>
      </c>
      <c r="BW2920" t="s">
        <v>188</v>
      </c>
      <c r="BX2920" t="s">
        <v>189</v>
      </c>
      <c r="BY2920">
        <v>15885.95</v>
      </c>
      <c r="CA2920" s="5" t="s">
        <v>2424</v>
      </c>
      <c r="CC2920" t="s">
        <v>169</v>
      </c>
      <c r="CD2920" s="5" t="s">
        <v>877</v>
      </c>
      <c r="CE2920" t="s">
        <v>191</v>
      </c>
      <c r="CF2920" s="3">
        <v>45958</v>
      </c>
      <c r="CI2920">
        <v>1</v>
      </c>
      <c r="CJ2920">
        <v>2</v>
      </c>
      <c r="CK2920">
        <v>41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"080068719466"</f>
        <v>080068719466</v>
      </c>
      <c r="F2921" s="3">
        <v>45954</v>
      </c>
      <c r="G2921">
        <v>202607</v>
      </c>
      <c r="H2921" t="s">
        <v>79</v>
      </c>
      <c r="I2921" t="s">
        <v>80</v>
      </c>
      <c r="J2921" t="s">
        <v>91</v>
      </c>
      <c r="K2921" t="s">
        <v>78</v>
      </c>
      <c r="L2921" t="s">
        <v>148</v>
      </c>
      <c r="M2921" t="s">
        <v>149</v>
      </c>
      <c r="N2921" t="s">
        <v>150</v>
      </c>
      <c r="O2921" t="s">
        <v>82</v>
      </c>
      <c r="P2921" t="str">
        <f>"4170066005                    "</f>
        <v xml:space="preserve">4170066005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17.46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2.8</v>
      </c>
      <c r="BJ2921">
        <v>1.5</v>
      </c>
      <c r="BK2921">
        <v>3</v>
      </c>
      <c r="BL2921">
        <v>55.42</v>
      </c>
      <c r="BM2921">
        <v>8.31</v>
      </c>
      <c r="BN2921">
        <v>63.73</v>
      </c>
      <c r="BO2921">
        <v>63.73</v>
      </c>
      <c r="BQ2921" t="s">
        <v>151</v>
      </c>
      <c r="BR2921" t="s">
        <v>97</v>
      </c>
      <c r="BS2921" s="3">
        <v>45957</v>
      </c>
      <c r="BT2921" s="4">
        <v>0.33333333333333331</v>
      </c>
      <c r="BU2921" t="s">
        <v>2360</v>
      </c>
      <c r="BV2921" t="s">
        <v>86</v>
      </c>
      <c r="BY2921">
        <v>7560</v>
      </c>
      <c r="CA2921" t="s">
        <v>1463</v>
      </c>
      <c r="CC2921" t="s">
        <v>149</v>
      </c>
      <c r="CD2921">
        <v>2013</v>
      </c>
      <c r="CE2921" t="s">
        <v>191</v>
      </c>
      <c r="CF2921" s="3">
        <v>45957</v>
      </c>
      <c r="CI2921">
        <v>1</v>
      </c>
      <c r="CJ2921">
        <v>1</v>
      </c>
      <c r="CK2921">
        <v>22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"080068719508"</f>
        <v>080068719508</v>
      </c>
      <c r="F2922" s="3">
        <v>45954</v>
      </c>
      <c r="G2922">
        <v>202607</v>
      </c>
      <c r="H2922" t="s">
        <v>79</v>
      </c>
      <c r="I2922" t="s">
        <v>80</v>
      </c>
      <c r="J2922" t="s">
        <v>91</v>
      </c>
      <c r="K2922" t="s">
        <v>78</v>
      </c>
      <c r="L2922" t="s">
        <v>223</v>
      </c>
      <c r="M2922" t="s">
        <v>224</v>
      </c>
      <c r="N2922" t="s">
        <v>2159</v>
      </c>
      <c r="O2922" t="s">
        <v>82</v>
      </c>
      <c r="P2922" t="str">
        <f>"4170066011                    "</f>
        <v xml:space="preserve">4170066011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17.46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0.9</v>
      </c>
      <c r="BJ2922">
        <v>1.5</v>
      </c>
      <c r="BK2922">
        <v>2</v>
      </c>
      <c r="BL2922">
        <v>55.42</v>
      </c>
      <c r="BM2922">
        <v>8.31</v>
      </c>
      <c r="BN2922">
        <v>63.73</v>
      </c>
      <c r="BO2922">
        <v>63.73</v>
      </c>
      <c r="BQ2922" t="s">
        <v>2160</v>
      </c>
      <c r="BR2922" t="s">
        <v>97</v>
      </c>
      <c r="BS2922" s="3">
        <v>45957</v>
      </c>
      <c r="BT2922" s="4">
        <v>0.37152777777777779</v>
      </c>
      <c r="BU2922" t="s">
        <v>3296</v>
      </c>
      <c r="BV2922" t="s">
        <v>86</v>
      </c>
      <c r="BY2922">
        <v>7321.05</v>
      </c>
      <c r="CA2922" t="s">
        <v>1110</v>
      </c>
      <c r="CC2922" t="s">
        <v>224</v>
      </c>
      <c r="CD2922">
        <v>1459</v>
      </c>
      <c r="CE2922" t="s">
        <v>191</v>
      </c>
      <c r="CF2922" s="3">
        <v>45957</v>
      </c>
      <c r="CI2922">
        <v>1</v>
      </c>
      <c r="CJ2922">
        <v>1</v>
      </c>
      <c r="CK2922">
        <v>22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"080068719734"</f>
        <v>080068719734</v>
      </c>
      <c r="F2923" s="3">
        <v>45954</v>
      </c>
      <c r="G2923">
        <v>202607</v>
      </c>
      <c r="H2923" t="s">
        <v>79</v>
      </c>
      <c r="I2923" t="s">
        <v>80</v>
      </c>
      <c r="J2923" t="s">
        <v>91</v>
      </c>
      <c r="K2923" t="s">
        <v>78</v>
      </c>
      <c r="L2923" t="s">
        <v>333</v>
      </c>
      <c r="M2923" t="s">
        <v>334</v>
      </c>
      <c r="N2923" t="s">
        <v>794</v>
      </c>
      <c r="O2923" t="s">
        <v>82</v>
      </c>
      <c r="P2923" t="str">
        <f>"4170065982                    "</f>
        <v xml:space="preserve">4170065982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22.36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70.959999999999994</v>
      </c>
      <c r="BM2923">
        <v>10.64</v>
      </c>
      <c r="BN2923">
        <v>81.599999999999994</v>
      </c>
      <c r="BO2923">
        <v>81.599999999999994</v>
      </c>
      <c r="BQ2923" t="s">
        <v>795</v>
      </c>
      <c r="BR2923" t="s">
        <v>97</v>
      </c>
      <c r="BS2923" s="3">
        <v>45957</v>
      </c>
      <c r="BT2923" s="4">
        <v>0.43680555555555556</v>
      </c>
      <c r="BU2923" t="s">
        <v>796</v>
      </c>
      <c r="BV2923" t="s">
        <v>86</v>
      </c>
      <c r="BY2923">
        <v>1200</v>
      </c>
      <c r="CA2923" t="s">
        <v>142</v>
      </c>
      <c r="CC2923" t="s">
        <v>334</v>
      </c>
      <c r="CD2923">
        <v>6220</v>
      </c>
      <c r="CE2923" t="s">
        <v>147</v>
      </c>
      <c r="CF2923" s="3">
        <v>45957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"080068719755"</f>
        <v>080068719755</v>
      </c>
      <c r="F2924" s="3">
        <v>45954</v>
      </c>
      <c r="G2924">
        <v>202607</v>
      </c>
      <c r="H2924" t="s">
        <v>79</v>
      </c>
      <c r="I2924" t="s">
        <v>80</v>
      </c>
      <c r="J2924" t="s">
        <v>91</v>
      </c>
      <c r="K2924" t="s">
        <v>78</v>
      </c>
      <c r="L2924" t="s">
        <v>206</v>
      </c>
      <c r="M2924" t="s">
        <v>207</v>
      </c>
      <c r="N2924" t="s">
        <v>1646</v>
      </c>
      <c r="O2924" t="s">
        <v>82</v>
      </c>
      <c r="P2924" t="str">
        <f>"4170066010                    "</f>
        <v xml:space="preserve">4170066010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89.37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8</v>
      </c>
      <c r="BJ2924">
        <v>3.8</v>
      </c>
      <c r="BK2924">
        <v>8</v>
      </c>
      <c r="BL2924">
        <v>283.64999999999998</v>
      </c>
      <c r="BM2924">
        <v>42.55</v>
      </c>
      <c r="BN2924">
        <v>326.2</v>
      </c>
      <c r="BO2924">
        <v>326.2</v>
      </c>
      <c r="BQ2924" t="s">
        <v>1647</v>
      </c>
      <c r="BR2924" t="s">
        <v>97</v>
      </c>
      <c r="BS2924" s="3">
        <v>45957</v>
      </c>
      <c r="BT2924" s="4">
        <v>0.625</v>
      </c>
      <c r="BU2924" t="s">
        <v>2042</v>
      </c>
      <c r="BV2924" t="s">
        <v>90</v>
      </c>
      <c r="BW2924" t="s">
        <v>347</v>
      </c>
      <c r="BX2924" t="s">
        <v>1649</v>
      </c>
      <c r="BY2924">
        <v>19227</v>
      </c>
      <c r="CA2924" t="s">
        <v>1650</v>
      </c>
      <c r="CC2924" t="s">
        <v>207</v>
      </c>
      <c r="CD2924">
        <v>7550</v>
      </c>
      <c r="CE2924" t="s">
        <v>191</v>
      </c>
      <c r="CF2924" s="3">
        <v>45958</v>
      </c>
      <c r="CI2924">
        <v>1</v>
      </c>
      <c r="CJ2924">
        <v>1</v>
      </c>
      <c r="CK2924">
        <v>21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"080068719772"</f>
        <v>080068719772</v>
      </c>
      <c r="F2925" s="3">
        <v>45954</v>
      </c>
      <c r="G2925">
        <v>202607</v>
      </c>
      <c r="H2925" t="s">
        <v>79</v>
      </c>
      <c r="I2925" t="s">
        <v>80</v>
      </c>
      <c r="J2925" t="s">
        <v>91</v>
      </c>
      <c r="K2925" t="s">
        <v>78</v>
      </c>
      <c r="L2925" t="s">
        <v>350</v>
      </c>
      <c r="M2925" t="s">
        <v>351</v>
      </c>
      <c r="N2925" t="s">
        <v>2636</v>
      </c>
      <c r="O2925" t="s">
        <v>82</v>
      </c>
      <c r="P2925" t="str">
        <f>"4170065997                    "</f>
        <v xml:space="preserve">4170065997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43.31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137.47</v>
      </c>
      <c r="BM2925">
        <v>20.62</v>
      </c>
      <c r="BN2925">
        <v>158.09</v>
      </c>
      <c r="BO2925">
        <v>158.09</v>
      </c>
      <c r="BQ2925" t="s">
        <v>2637</v>
      </c>
      <c r="BR2925" t="s">
        <v>97</v>
      </c>
      <c r="BS2925" s="3">
        <v>45957</v>
      </c>
      <c r="BT2925" s="4">
        <v>0.40625</v>
      </c>
      <c r="BU2925" t="s">
        <v>3297</v>
      </c>
      <c r="BV2925" t="s">
        <v>86</v>
      </c>
      <c r="BY2925">
        <v>1200</v>
      </c>
      <c r="CA2925" t="s">
        <v>2097</v>
      </c>
      <c r="CC2925" t="s">
        <v>351</v>
      </c>
      <c r="CD2925" s="5" t="s">
        <v>356</v>
      </c>
      <c r="CE2925" t="s">
        <v>147</v>
      </c>
      <c r="CF2925" s="3">
        <v>45958</v>
      </c>
      <c r="CI2925">
        <v>1</v>
      </c>
      <c r="CJ2925">
        <v>1</v>
      </c>
      <c r="CK2925">
        <v>23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"080068719785"</f>
        <v>080068719785</v>
      </c>
      <c r="F2926" s="3">
        <v>45954</v>
      </c>
      <c r="G2926">
        <v>202607</v>
      </c>
      <c r="H2926" t="s">
        <v>79</v>
      </c>
      <c r="I2926" t="s">
        <v>80</v>
      </c>
      <c r="J2926" t="s">
        <v>91</v>
      </c>
      <c r="K2926" t="s">
        <v>78</v>
      </c>
      <c r="L2926" t="s">
        <v>223</v>
      </c>
      <c r="M2926" t="s">
        <v>224</v>
      </c>
      <c r="N2926" t="s">
        <v>1019</v>
      </c>
      <c r="O2926" t="s">
        <v>226</v>
      </c>
      <c r="P2926" t="str">
        <f>"4170066041                    "</f>
        <v xml:space="preserve">4170066041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17.47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3</v>
      </c>
      <c r="BJ2926">
        <v>4.0999999999999996</v>
      </c>
      <c r="BK2926">
        <v>5</v>
      </c>
      <c r="BL2926">
        <v>55.44</v>
      </c>
      <c r="BM2926">
        <v>8.32</v>
      </c>
      <c r="BN2926">
        <v>63.76</v>
      </c>
      <c r="BO2926">
        <v>63.76</v>
      </c>
      <c r="BQ2926" t="s">
        <v>1020</v>
      </c>
      <c r="BR2926" t="s">
        <v>97</v>
      </c>
      <c r="BS2926" s="3">
        <v>45957</v>
      </c>
      <c r="BT2926" s="4">
        <v>0.32569444444444445</v>
      </c>
      <c r="BU2926" t="s">
        <v>1021</v>
      </c>
      <c r="BV2926" t="s">
        <v>86</v>
      </c>
      <c r="BY2926">
        <v>20250</v>
      </c>
      <c r="CA2926" t="s">
        <v>508</v>
      </c>
      <c r="CC2926" t="s">
        <v>224</v>
      </c>
      <c r="CD2926">
        <v>1459</v>
      </c>
      <c r="CE2926" t="s">
        <v>975</v>
      </c>
      <c r="CF2926" s="3">
        <v>45957</v>
      </c>
      <c r="CI2926">
        <v>1</v>
      </c>
      <c r="CJ2926">
        <v>1</v>
      </c>
      <c r="CK2926">
        <v>32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"080068719798"</f>
        <v>080068719798</v>
      </c>
      <c r="F2927" s="3">
        <v>45954</v>
      </c>
      <c r="G2927">
        <v>202607</v>
      </c>
      <c r="H2927" t="s">
        <v>79</v>
      </c>
      <c r="I2927" t="s">
        <v>80</v>
      </c>
      <c r="J2927" t="s">
        <v>91</v>
      </c>
      <c r="K2927" t="s">
        <v>78</v>
      </c>
      <c r="L2927" t="s">
        <v>121</v>
      </c>
      <c r="M2927" t="s">
        <v>122</v>
      </c>
      <c r="N2927" t="s">
        <v>632</v>
      </c>
      <c r="O2927" t="s">
        <v>82</v>
      </c>
      <c r="P2927" t="str">
        <f>"4170065988                    "</f>
        <v xml:space="preserve">4170065988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22.36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70.959999999999994</v>
      </c>
      <c r="BM2927">
        <v>10.64</v>
      </c>
      <c r="BN2927">
        <v>81.599999999999994</v>
      </c>
      <c r="BO2927">
        <v>81.599999999999994</v>
      </c>
      <c r="BQ2927" t="s">
        <v>633</v>
      </c>
      <c r="BR2927" t="s">
        <v>97</v>
      </c>
      <c r="BS2927" s="3">
        <v>45957</v>
      </c>
      <c r="BT2927" s="4">
        <v>0.43402777777777779</v>
      </c>
      <c r="BU2927" t="s">
        <v>3298</v>
      </c>
      <c r="BV2927" t="s">
        <v>86</v>
      </c>
      <c r="BY2927">
        <v>1200</v>
      </c>
      <c r="CA2927" t="s">
        <v>635</v>
      </c>
      <c r="CC2927" t="s">
        <v>122</v>
      </c>
      <c r="CD2927">
        <v>4000</v>
      </c>
      <c r="CE2927" t="s">
        <v>147</v>
      </c>
      <c r="CF2927" s="3">
        <v>45958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"080068719899"</f>
        <v>080068719899</v>
      </c>
      <c r="F2928" s="3">
        <v>45954</v>
      </c>
      <c r="G2928">
        <v>202607</v>
      </c>
      <c r="H2928" t="s">
        <v>79</v>
      </c>
      <c r="I2928" t="s">
        <v>80</v>
      </c>
      <c r="J2928" t="s">
        <v>91</v>
      </c>
      <c r="K2928" t="s">
        <v>78</v>
      </c>
      <c r="L2928" t="s">
        <v>108</v>
      </c>
      <c r="M2928" t="s">
        <v>109</v>
      </c>
      <c r="N2928" t="s">
        <v>3299</v>
      </c>
      <c r="O2928" t="s">
        <v>82</v>
      </c>
      <c r="P2928" t="str">
        <f>"4170065962                    "</f>
        <v xml:space="preserve">4170065962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22.36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70.959999999999994</v>
      </c>
      <c r="BM2928">
        <v>10.64</v>
      </c>
      <c r="BN2928">
        <v>81.599999999999994</v>
      </c>
      <c r="BO2928">
        <v>81.599999999999994</v>
      </c>
      <c r="BQ2928" t="s">
        <v>3300</v>
      </c>
      <c r="BR2928" t="s">
        <v>97</v>
      </c>
      <c r="BS2928" s="3">
        <v>45957</v>
      </c>
      <c r="BT2928" s="4">
        <v>0.4284722222222222</v>
      </c>
      <c r="BU2928" t="s">
        <v>3301</v>
      </c>
      <c r="BV2928" t="s">
        <v>86</v>
      </c>
      <c r="BY2928">
        <v>1200</v>
      </c>
      <c r="CA2928" t="s">
        <v>3302</v>
      </c>
      <c r="CC2928" t="s">
        <v>109</v>
      </c>
      <c r="CD2928">
        <v>6045</v>
      </c>
      <c r="CE2928" t="s">
        <v>147</v>
      </c>
      <c r="CF2928" s="3">
        <v>45957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"080068720735"</f>
        <v>080068720735</v>
      </c>
      <c r="F2929" s="3">
        <v>45954</v>
      </c>
      <c r="G2929">
        <v>202607</v>
      </c>
      <c r="H2929" t="s">
        <v>79</v>
      </c>
      <c r="I2929" t="s">
        <v>80</v>
      </c>
      <c r="J2929" t="s">
        <v>91</v>
      </c>
      <c r="K2929" t="s">
        <v>78</v>
      </c>
      <c r="L2929" t="s">
        <v>306</v>
      </c>
      <c r="M2929" t="s">
        <v>307</v>
      </c>
      <c r="N2929" t="s">
        <v>308</v>
      </c>
      <c r="O2929" t="s">
        <v>82</v>
      </c>
      <c r="P2929" t="str">
        <f>"4170065979                    "</f>
        <v xml:space="preserve">4170065979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22.36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70.959999999999994</v>
      </c>
      <c r="BM2929">
        <v>10.64</v>
      </c>
      <c r="BN2929">
        <v>81.599999999999994</v>
      </c>
      <c r="BO2929">
        <v>81.599999999999994</v>
      </c>
      <c r="BQ2929" t="s">
        <v>309</v>
      </c>
      <c r="BR2929" t="s">
        <v>97</v>
      </c>
      <c r="BS2929" s="3">
        <v>45957</v>
      </c>
      <c r="BT2929" s="4">
        <v>0.58472222222222225</v>
      </c>
      <c r="BU2929" t="s">
        <v>1584</v>
      </c>
      <c r="BV2929" t="s">
        <v>90</v>
      </c>
      <c r="BW2929" t="s">
        <v>136</v>
      </c>
      <c r="BX2929" t="s">
        <v>858</v>
      </c>
      <c r="BY2929">
        <v>1200</v>
      </c>
      <c r="CA2929" t="s">
        <v>157</v>
      </c>
      <c r="CC2929" t="s">
        <v>307</v>
      </c>
      <c r="CD2929">
        <v>4113</v>
      </c>
      <c r="CE2929" t="s">
        <v>147</v>
      </c>
      <c r="CF2929" s="3">
        <v>45958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"080068720770"</f>
        <v>080068720770</v>
      </c>
      <c r="F2930" s="3">
        <v>45954</v>
      </c>
      <c r="G2930">
        <v>202607</v>
      </c>
      <c r="H2930" t="s">
        <v>79</v>
      </c>
      <c r="I2930" t="s">
        <v>80</v>
      </c>
      <c r="J2930" t="s">
        <v>91</v>
      </c>
      <c r="K2930" t="s">
        <v>78</v>
      </c>
      <c r="L2930" t="s">
        <v>121</v>
      </c>
      <c r="M2930" t="s">
        <v>122</v>
      </c>
      <c r="N2930" t="s">
        <v>133</v>
      </c>
      <c r="O2930" t="s">
        <v>82</v>
      </c>
      <c r="P2930" t="str">
        <f>"4170065981                    "</f>
        <v xml:space="preserve">4170065981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22.36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70.959999999999994</v>
      </c>
      <c r="BM2930">
        <v>10.64</v>
      </c>
      <c r="BN2930">
        <v>81.599999999999994</v>
      </c>
      <c r="BO2930">
        <v>81.599999999999994</v>
      </c>
      <c r="BQ2930" t="s">
        <v>134</v>
      </c>
      <c r="BR2930" t="s">
        <v>97</v>
      </c>
      <c r="BS2930" s="3">
        <v>45957</v>
      </c>
      <c r="BT2930" s="4">
        <v>0.50902777777777775</v>
      </c>
      <c r="BU2930" t="s">
        <v>1997</v>
      </c>
      <c r="BV2930" t="s">
        <v>90</v>
      </c>
      <c r="BW2930" t="s">
        <v>771</v>
      </c>
      <c r="BX2930" t="s">
        <v>2909</v>
      </c>
      <c r="BY2930">
        <v>1200</v>
      </c>
      <c r="CA2930" t="s">
        <v>742</v>
      </c>
      <c r="CC2930" t="s">
        <v>122</v>
      </c>
      <c r="CD2930">
        <v>4001</v>
      </c>
      <c r="CE2930" t="s">
        <v>147</v>
      </c>
      <c r="CF2930" s="3">
        <v>45958</v>
      </c>
      <c r="CI2930">
        <v>1</v>
      </c>
      <c r="CJ2930">
        <v>1</v>
      </c>
      <c r="CK2930">
        <v>21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"080068720819"</f>
        <v>080068720819</v>
      </c>
      <c r="F2931" s="3">
        <v>45954</v>
      </c>
      <c r="G2931">
        <v>202607</v>
      </c>
      <c r="H2931" t="s">
        <v>79</v>
      </c>
      <c r="I2931" t="s">
        <v>80</v>
      </c>
      <c r="J2931" t="s">
        <v>91</v>
      </c>
      <c r="K2931" t="s">
        <v>78</v>
      </c>
      <c r="L2931" t="s">
        <v>168</v>
      </c>
      <c r="M2931" t="s">
        <v>169</v>
      </c>
      <c r="N2931" t="s">
        <v>584</v>
      </c>
      <c r="O2931" t="s">
        <v>82</v>
      </c>
      <c r="P2931" t="str">
        <f>"4170065974                    "</f>
        <v xml:space="preserve">4170065974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22.36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70.959999999999994</v>
      </c>
      <c r="BM2931">
        <v>10.64</v>
      </c>
      <c r="BN2931">
        <v>81.599999999999994</v>
      </c>
      <c r="BO2931">
        <v>81.599999999999994</v>
      </c>
      <c r="BQ2931" t="s">
        <v>585</v>
      </c>
      <c r="BR2931" t="s">
        <v>97</v>
      </c>
      <c r="BS2931" s="3">
        <v>45957</v>
      </c>
      <c r="BT2931" s="4">
        <v>0.40138888888888891</v>
      </c>
      <c r="BU2931" t="s">
        <v>148</v>
      </c>
      <c r="BV2931" t="s">
        <v>86</v>
      </c>
      <c r="BY2931">
        <v>1200</v>
      </c>
      <c r="CA2931">
        <v>8303236124087</v>
      </c>
      <c r="CC2931" t="s">
        <v>169</v>
      </c>
      <c r="CD2931" s="5" t="s">
        <v>190</v>
      </c>
      <c r="CE2931" t="s">
        <v>147</v>
      </c>
      <c r="CF2931" s="3">
        <v>45957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"080068720848"</f>
        <v>080068720848</v>
      </c>
      <c r="F2932" s="3">
        <v>45954</v>
      </c>
      <c r="G2932">
        <v>202607</v>
      </c>
      <c r="H2932" t="s">
        <v>79</v>
      </c>
      <c r="I2932" t="s">
        <v>80</v>
      </c>
      <c r="J2932" t="s">
        <v>91</v>
      </c>
      <c r="K2932" t="s">
        <v>78</v>
      </c>
      <c r="L2932" t="s">
        <v>121</v>
      </c>
      <c r="M2932" t="s">
        <v>122</v>
      </c>
      <c r="N2932" t="s">
        <v>154</v>
      </c>
      <c r="O2932" t="s">
        <v>82</v>
      </c>
      <c r="P2932" t="str">
        <f>"4170066077                    "</f>
        <v xml:space="preserve">4170066077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22.36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70.959999999999994</v>
      </c>
      <c r="BM2932">
        <v>10.64</v>
      </c>
      <c r="BN2932">
        <v>81.599999999999994</v>
      </c>
      <c r="BO2932">
        <v>81.599999999999994</v>
      </c>
      <c r="BQ2932" t="s">
        <v>155</v>
      </c>
      <c r="BR2932" t="s">
        <v>97</v>
      </c>
      <c r="BS2932" s="3">
        <v>45957</v>
      </c>
      <c r="BT2932" s="4">
        <v>0.37291666666666667</v>
      </c>
      <c r="BU2932" t="s">
        <v>3303</v>
      </c>
      <c r="BV2932" t="s">
        <v>86</v>
      </c>
      <c r="BY2932">
        <v>1200</v>
      </c>
      <c r="CA2932" t="s">
        <v>157</v>
      </c>
      <c r="CC2932" t="s">
        <v>122</v>
      </c>
      <c r="CD2932">
        <v>4052</v>
      </c>
      <c r="CE2932" t="s">
        <v>147</v>
      </c>
      <c r="CF2932" s="3">
        <v>45958</v>
      </c>
      <c r="CI2932">
        <v>1</v>
      </c>
      <c r="CJ2932">
        <v>1</v>
      </c>
      <c r="CK2932">
        <v>21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"080068721149"</f>
        <v>080068721149</v>
      </c>
      <c r="F2933" s="3">
        <v>45954</v>
      </c>
      <c r="G2933">
        <v>202607</v>
      </c>
      <c r="H2933" t="s">
        <v>79</v>
      </c>
      <c r="I2933" t="s">
        <v>80</v>
      </c>
      <c r="J2933" t="s">
        <v>91</v>
      </c>
      <c r="K2933" t="s">
        <v>78</v>
      </c>
      <c r="L2933" t="s">
        <v>453</v>
      </c>
      <c r="M2933" t="s">
        <v>454</v>
      </c>
      <c r="N2933" t="s">
        <v>1223</v>
      </c>
      <c r="O2933" t="s">
        <v>82</v>
      </c>
      <c r="P2933" t="str">
        <f>"4170066101                    "</f>
        <v xml:space="preserve">4170066101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22.36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70.959999999999994</v>
      </c>
      <c r="BM2933">
        <v>10.64</v>
      </c>
      <c r="BN2933">
        <v>81.599999999999994</v>
      </c>
      <c r="BO2933">
        <v>81.599999999999994</v>
      </c>
      <c r="BQ2933" t="s">
        <v>1224</v>
      </c>
      <c r="BR2933" t="s">
        <v>97</v>
      </c>
      <c r="BS2933" s="3">
        <v>45957</v>
      </c>
      <c r="BT2933" s="4">
        <v>0.4826388888888889</v>
      </c>
      <c r="BU2933" t="s">
        <v>3304</v>
      </c>
      <c r="BV2933" t="s">
        <v>86</v>
      </c>
      <c r="BY2933">
        <v>1200</v>
      </c>
      <c r="CA2933" t="s">
        <v>742</v>
      </c>
      <c r="CC2933" t="s">
        <v>454</v>
      </c>
      <c r="CD2933">
        <v>3610</v>
      </c>
      <c r="CE2933" t="s">
        <v>147</v>
      </c>
      <c r="CF2933" s="3">
        <v>45958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"080068721275"</f>
        <v>080068721275</v>
      </c>
      <c r="F2934" s="3">
        <v>45954</v>
      </c>
      <c r="G2934">
        <v>202607</v>
      </c>
      <c r="H2934" t="s">
        <v>79</v>
      </c>
      <c r="I2934" t="s">
        <v>80</v>
      </c>
      <c r="J2934" t="s">
        <v>91</v>
      </c>
      <c r="K2934" t="s">
        <v>78</v>
      </c>
      <c r="L2934" t="s">
        <v>168</v>
      </c>
      <c r="M2934" t="s">
        <v>169</v>
      </c>
      <c r="N2934" t="s">
        <v>335</v>
      </c>
      <c r="O2934" t="s">
        <v>95</v>
      </c>
      <c r="P2934" t="str">
        <f>"4170066004                    "</f>
        <v xml:space="preserve">4170066004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43.23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8.6</v>
      </c>
      <c r="BJ2934">
        <v>3.7</v>
      </c>
      <c r="BK2934">
        <v>9</v>
      </c>
      <c r="BL2934">
        <v>143.08000000000001</v>
      </c>
      <c r="BM2934">
        <v>21.46</v>
      </c>
      <c r="BN2934">
        <v>164.54</v>
      </c>
      <c r="BO2934">
        <v>164.54</v>
      </c>
      <c r="BQ2934" t="s">
        <v>475</v>
      </c>
      <c r="BR2934" t="s">
        <v>97</v>
      </c>
      <c r="BS2934" s="3">
        <v>45957</v>
      </c>
      <c r="BT2934" s="4">
        <v>0.50277777777777777</v>
      </c>
      <c r="BU2934" t="s">
        <v>897</v>
      </c>
      <c r="BV2934" t="s">
        <v>86</v>
      </c>
      <c r="BY2934">
        <v>18414</v>
      </c>
      <c r="CA2934">
        <v>8303236124087</v>
      </c>
      <c r="CC2934" t="s">
        <v>169</v>
      </c>
      <c r="CD2934" s="5" t="s">
        <v>190</v>
      </c>
      <c r="CE2934" t="s">
        <v>191</v>
      </c>
      <c r="CF2934" s="3">
        <v>45957</v>
      </c>
      <c r="CI2934">
        <v>1</v>
      </c>
      <c r="CJ2934">
        <v>1</v>
      </c>
      <c r="CK2934">
        <v>41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"080068721307"</f>
        <v>080068721307</v>
      </c>
      <c r="F2935" s="3">
        <v>45954</v>
      </c>
      <c r="G2935">
        <v>202607</v>
      </c>
      <c r="H2935" t="s">
        <v>79</v>
      </c>
      <c r="I2935" t="s">
        <v>80</v>
      </c>
      <c r="J2935" t="s">
        <v>91</v>
      </c>
      <c r="K2935" t="s">
        <v>78</v>
      </c>
      <c r="L2935" t="s">
        <v>350</v>
      </c>
      <c r="M2935" t="s">
        <v>351</v>
      </c>
      <c r="N2935" t="s">
        <v>2636</v>
      </c>
      <c r="O2935" t="s">
        <v>95</v>
      </c>
      <c r="P2935" t="str">
        <f>"4170066042                    "</f>
        <v xml:space="preserve">4170066042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145.06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2</v>
      </c>
      <c r="BI2935">
        <v>41.1</v>
      </c>
      <c r="BJ2935">
        <v>18.100000000000001</v>
      </c>
      <c r="BK2935">
        <v>42</v>
      </c>
      <c r="BL2935">
        <v>466.27</v>
      </c>
      <c r="BM2935">
        <v>69.94</v>
      </c>
      <c r="BN2935">
        <v>536.21</v>
      </c>
      <c r="BO2935">
        <v>536.21</v>
      </c>
      <c r="BQ2935" t="s">
        <v>2637</v>
      </c>
      <c r="BR2935" t="s">
        <v>97</v>
      </c>
      <c r="BS2935" s="3">
        <v>45957</v>
      </c>
      <c r="BT2935" s="4">
        <v>0.52986111111111112</v>
      </c>
      <c r="BU2935" t="s">
        <v>3305</v>
      </c>
      <c r="BV2935" t="s">
        <v>86</v>
      </c>
      <c r="BY2935">
        <v>90400</v>
      </c>
      <c r="CA2935" t="s">
        <v>2097</v>
      </c>
      <c r="CC2935" t="s">
        <v>351</v>
      </c>
      <c r="CD2935" s="5" t="s">
        <v>356</v>
      </c>
      <c r="CE2935" t="s">
        <v>2005</v>
      </c>
      <c r="CF2935" s="3">
        <v>45958</v>
      </c>
      <c r="CI2935">
        <v>1</v>
      </c>
      <c r="CJ2935">
        <v>1</v>
      </c>
      <c r="CK2935">
        <v>43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"080068721365"</f>
        <v>080068721365</v>
      </c>
      <c r="F2936" s="3">
        <v>45954</v>
      </c>
      <c r="G2936">
        <v>202607</v>
      </c>
      <c r="H2936" t="s">
        <v>79</v>
      </c>
      <c r="I2936" t="s">
        <v>80</v>
      </c>
      <c r="J2936" t="s">
        <v>91</v>
      </c>
      <c r="K2936" t="s">
        <v>78</v>
      </c>
      <c r="L2936" t="s">
        <v>121</v>
      </c>
      <c r="M2936" t="s">
        <v>122</v>
      </c>
      <c r="N2936" t="s">
        <v>1023</v>
      </c>
      <c r="O2936" t="s">
        <v>82</v>
      </c>
      <c r="P2936" t="str">
        <f>"4170065966                    "</f>
        <v xml:space="preserve">4170065966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50.28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3</v>
      </c>
      <c r="BJ2936">
        <v>4.0999999999999996</v>
      </c>
      <c r="BK2936">
        <v>4.5</v>
      </c>
      <c r="BL2936">
        <v>159.58000000000001</v>
      </c>
      <c r="BM2936">
        <v>23.94</v>
      </c>
      <c r="BN2936">
        <v>183.52</v>
      </c>
      <c r="BO2936">
        <v>183.52</v>
      </c>
      <c r="BQ2936" t="s">
        <v>1024</v>
      </c>
      <c r="BR2936" t="s">
        <v>97</v>
      </c>
      <c r="BS2936" s="3">
        <v>45957</v>
      </c>
      <c r="BT2936" s="4">
        <v>0.43055555555555558</v>
      </c>
      <c r="BU2936" t="s">
        <v>3306</v>
      </c>
      <c r="BV2936" t="s">
        <v>86</v>
      </c>
      <c r="BY2936">
        <v>20358</v>
      </c>
      <c r="CA2936" t="s">
        <v>1406</v>
      </c>
      <c r="CC2936" t="s">
        <v>122</v>
      </c>
      <c r="CD2936">
        <v>4000</v>
      </c>
      <c r="CE2936" t="s">
        <v>191</v>
      </c>
      <c r="CF2936" s="3">
        <v>45958</v>
      </c>
      <c r="CI2936">
        <v>1</v>
      </c>
      <c r="CJ2936">
        <v>1</v>
      </c>
      <c r="CK2936">
        <v>21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"080068721399"</f>
        <v>080068721399</v>
      </c>
      <c r="F2937" s="3">
        <v>45954</v>
      </c>
      <c r="G2937">
        <v>202607</v>
      </c>
      <c r="H2937" t="s">
        <v>79</v>
      </c>
      <c r="I2937" t="s">
        <v>80</v>
      </c>
      <c r="J2937" t="s">
        <v>91</v>
      </c>
      <c r="K2937" t="s">
        <v>78</v>
      </c>
      <c r="L2937" t="s">
        <v>233</v>
      </c>
      <c r="M2937" t="s">
        <v>234</v>
      </c>
      <c r="N2937" t="s">
        <v>1066</v>
      </c>
      <c r="O2937" t="s">
        <v>95</v>
      </c>
      <c r="P2937" t="str">
        <f>"4170066017                    "</f>
        <v xml:space="preserve">4170066017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43.23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2</v>
      </c>
      <c r="BI2937">
        <v>8.3000000000000007</v>
      </c>
      <c r="BJ2937">
        <v>3.3</v>
      </c>
      <c r="BK2937">
        <v>9</v>
      </c>
      <c r="BL2937">
        <v>143.08000000000001</v>
      </c>
      <c r="BM2937">
        <v>21.46</v>
      </c>
      <c r="BN2937">
        <v>164.54</v>
      </c>
      <c r="BO2937">
        <v>164.54</v>
      </c>
      <c r="BQ2937" t="s">
        <v>1067</v>
      </c>
      <c r="BR2937" t="s">
        <v>97</v>
      </c>
      <c r="BS2937" s="3">
        <v>45957</v>
      </c>
      <c r="BT2937" s="4">
        <v>0.35902777777777778</v>
      </c>
      <c r="BU2937" t="s">
        <v>2268</v>
      </c>
      <c r="BV2937" t="s">
        <v>86</v>
      </c>
      <c r="BY2937">
        <v>16464</v>
      </c>
      <c r="CA2937">
        <v>7104145194083</v>
      </c>
      <c r="CC2937" t="s">
        <v>234</v>
      </c>
      <c r="CD2937" s="5" t="s">
        <v>238</v>
      </c>
      <c r="CE2937" t="s">
        <v>191</v>
      </c>
      <c r="CF2937" s="3">
        <v>45957</v>
      </c>
      <c r="CI2937">
        <v>1</v>
      </c>
      <c r="CJ2937">
        <v>1</v>
      </c>
      <c r="CK2937">
        <v>41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"080068721449"</f>
        <v>080068721449</v>
      </c>
      <c r="F2938" s="3">
        <v>45954</v>
      </c>
      <c r="G2938">
        <v>202607</v>
      </c>
      <c r="H2938" t="s">
        <v>79</v>
      </c>
      <c r="I2938" t="s">
        <v>80</v>
      </c>
      <c r="J2938" t="s">
        <v>91</v>
      </c>
      <c r="K2938" t="s">
        <v>78</v>
      </c>
      <c r="L2938" t="s">
        <v>206</v>
      </c>
      <c r="M2938" t="s">
        <v>207</v>
      </c>
      <c r="N2938" t="s">
        <v>611</v>
      </c>
      <c r="O2938" t="s">
        <v>82</v>
      </c>
      <c r="P2938" t="str">
        <f>"4170066015                    "</f>
        <v xml:space="preserve">4170066015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55.86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4</v>
      </c>
      <c r="BJ2938">
        <v>5</v>
      </c>
      <c r="BK2938">
        <v>5</v>
      </c>
      <c r="BL2938">
        <v>177.3</v>
      </c>
      <c r="BM2938">
        <v>26.6</v>
      </c>
      <c r="BN2938">
        <v>203.9</v>
      </c>
      <c r="BO2938">
        <v>203.9</v>
      </c>
      <c r="BQ2938" t="s">
        <v>612</v>
      </c>
      <c r="BR2938" t="s">
        <v>97</v>
      </c>
      <c r="BS2938" s="3">
        <v>45957</v>
      </c>
      <c r="BT2938" s="4">
        <v>0.3263888888888889</v>
      </c>
      <c r="BU2938" t="s">
        <v>3307</v>
      </c>
      <c r="BV2938" t="s">
        <v>86</v>
      </c>
      <c r="BY2938">
        <v>24882</v>
      </c>
      <c r="CA2938" t="s">
        <v>423</v>
      </c>
      <c r="CC2938" t="s">
        <v>207</v>
      </c>
      <c r="CD2938">
        <v>7530</v>
      </c>
      <c r="CE2938" t="s">
        <v>191</v>
      </c>
      <c r="CF2938" s="3">
        <v>45958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"080068721480"</f>
        <v>080068721480</v>
      </c>
      <c r="F2939" s="3">
        <v>45954</v>
      </c>
      <c r="G2939">
        <v>202607</v>
      </c>
      <c r="H2939" t="s">
        <v>79</v>
      </c>
      <c r="I2939" t="s">
        <v>80</v>
      </c>
      <c r="J2939" t="s">
        <v>91</v>
      </c>
      <c r="K2939" t="s">
        <v>78</v>
      </c>
      <c r="L2939" t="s">
        <v>271</v>
      </c>
      <c r="M2939" t="s">
        <v>272</v>
      </c>
      <c r="N2939" t="s">
        <v>3236</v>
      </c>
      <c r="O2939" t="s">
        <v>82</v>
      </c>
      <c r="P2939" t="str">
        <f>"4170066054                    "</f>
        <v xml:space="preserve">4170066054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17.46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0.7</v>
      </c>
      <c r="BJ2939">
        <v>0.8</v>
      </c>
      <c r="BK2939">
        <v>1</v>
      </c>
      <c r="BL2939">
        <v>55.42</v>
      </c>
      <c r="BM2939">
        <v>8.31</v>
      </c>
      <c r="BN2939">
        <v>63.73</v>
      </c>
      <c r="BO2939">
        <v>63.73</v>
      </c>
      <c r="BQ2939" t="s">
        <v>3237</v>
      </c>
      <c r="BR2939" t="s">
        <v>97</v>
      </c>
      <c r="BS2939" s="3">
        <v>45957</v>
      </c>
      <c r="BT2939" s="4">
        <v>0.37569444444444444</v>
      </c>
      <c r="BU2939" t="s">
        <v>2975</v>
      </c>
      <c r="BV2939" t="s">
        <v>86</v>
      </c>
      <c r="BY2939">
        <v>3894</v>
      </c>
      <c r="CA2939" t="s">
        <v>1659</v>
      </c>
      <c r="CC2939" t="s">
        <v>272</v>
      </c>
      <c r="CD2939">
        <v>1401</v>
      </c>
      <c r="CE2939" t="s">
        <v>191</v>
      </c>
      <c r="CF2939" s="3">
        <v>45958</v>
      </c>
      <c r="CI2939">
        <v>1</v>
      </c>
      <c r="CJ2939">
        <v>1</v>
      </c>
      <c r="CK2939">
        <v>22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"080068721518"</f>
        <v>080068721518</v>
      </c>
      <c r="F2940" s="3">
        <v>45954</v>
      </c>
      <c r="G2940">
        <v>202607</v>
      </c>
      <c r="H2940" t="s">
        <v>79</v>
      </c>
      <c r="I2940" t="s">
        <v>80</v>
      </c>
      <c r="J2940" t="s">
        <v>91</v>
      </c>
      <c r="K2940" t="s">
        <v>78</v>
      </c>
      <c r="L2940" t="s">
        <v>206</v>
      </c>
      <c r="M2940" t="s">
        <v>207</v>
      </c>
      <c r="N2940" t="s">
        <v>656</v>
      </c>
      <c r="O2940" t="s">
        <v>82</v>
      </c>
      <c r="P2940" t="str">
        <f>"4170065955                    "</f>
        <v xml:space="preserve">4170065955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89.37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8</v>
      </c>
      <c r="BJ2940">
        <v>5.2</v>
      </c>
      <c r="BK2940">
        <v>8</v>
      </c>
      <c r="BL2940">
        <v>283.64999999999998</v>
      </c>
      <c r="BM2940">
        <v>42.55</v>
      </c>
      <c r="BN2940">
        <v>326.2</v>
      </c>
      <c r="BO2940">
        <v>326.2</v>
      </c>
      <c r="BQ2940" t="s">
        <v>657</v>
      </c>
      <c r="BR2940" t="s">
        <v>97</v>
      </c>
      <c r="BS2940" s="3">
        <v>45957</v>
      </c>
      <c r="BT2940" s="4">
        <v>0.38472222222222224</v>
      </c>
      <c r="BU2940" t="s">
        <v>658</v>
      </c>
      <c r="BV2940" t="s">
        <v>86</v>
      </c>
      <c r="BY2940">
        <v>25920</v>
      </c>
      <c r="CA2940" t="s">
        <v>211</v>
      </c>
      <c r="CC2940" t="s">
        <v>207</v>
      </c>
      <c r="CD2940">
        <v>7441</v>
      </c>
      <c r="CE2940" t="s">
        <v>107</v>
      </c>
      <c r="CF2940" s="3">
        <v>45958</v>
      </c>
      <c r="CI2940">
        <v>1</v>
      </c>
      <c r="CJ2940">
        <v>1</v>
      </c>
      <c r="CK2940">
        <v>21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"080068721545"</f>
        <v>080068721545</v>
      </c>
      <c r="F2941" s="3">
        <v>45954</v>
      </c>
      <c r="G2941">
        <v>202607</v>
      </c>
      <c r="H2941" t="s">
        <v>79</v>
      </c>
      <c r="I2941" t="s">
        <v>80</v>
      </c>
      <c r="J2941" t="s">
        <v>91</v>
      </c>
      <c r="K2941" t="s">
        <v>78</v>
      </c>
      <c r="L2941" t="s">
        <v>453</v>
      </c>
      <c r="M2941" t="s">
        <v>454</v>
      </c>
      <c r="N2941" t="s">
        <v>665</v>
      </c>
      <c r="O2941" t="s">
        <v>82</v>
      </c>
      <c r="P2941" t="str">
        <f>"4170065970                    "</f>
        <v xml:space="preserve">4170065970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22.36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0.7</v>
      </c>
      <c r="BK2941">
        <v>1</v>
      </c>
      <c r="BL2941">
        <v>70.959999999999994</v>
      </c>
      <c r="BM2941">
        <v>10.64</v>
      </c>
      <c r="BN2941">
        <v>81.599999999999994</v>
      </c>
      <c r="BO2941">
        <v>81.599999999999994</v>
      </c>
      <c r="BQ2941" t="s">
        <v>666</v>
      </c>
      <c r="BR2941" t="s">
        <v>97</v>
      </c>
      <c r="BS2941" s="3">
        <v>45957</v>
      </c>
      <c r="BT2941" s="4">
        <v>0.48958333333333331</v>
      </c>
      <c r="BU2941" t="s">
        <v>667</v>
      </c>
      <c r="BV2941" t="s">
        <v>86</v>
      </c>
      <c r="BY2941">
        <v>3306</v>
      </c>
      <c r="CA2941" t="s">
        <v>742</v>
      </c>
      <c r="CC2941" t="s">
        <v>454</v>
      </c>
      <c r="CD2941">
        <v>3610</v>
      </c>
      <c r="CE2941" t="s">
        <v>191</v>
      </c>
      <c r="CF2941" s="3">
        <v>45958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"080068721659"</f>
        <v>080068721659</v>
      </c>
      <c r="F2942" s="3">
        <v>45954</v>
      </c>
      <c r="G2942">
        <v>202607</v>
      </c>
      <c r="H2942" t="s">
        <v>79</v>
      </c>
      <c r="I2942" t="s">
        <v>80</v>
      </c>
      <c r="J2942" t="s">
        <v>91</v>
      </c>
      <c r="K2942" t="s">
        <v>78</v>
      </c>
      <c r="L2942" t="s">
        <v>3308</v>
      </c>
      <c r="M2942" t="s">
        <v>3309</v>
      </c>
      <c r="N2942" t="s">
        <v>3310</v>
      </c>
      <c r="O2942" t="s">
        <v>95</v>
      </c>
      <c r="P2942" t="str">
        <f>"4170065883                    "</f>
        <v xml:space="preserve">4170065883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60.97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16.739999999999998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2</v>
      </c>
      <c r="BI2942">
        <v>14</v>
      </c>
      <c r="BJ2942">
        <v>13.5</v>
      </c>
      <c r="BK2942">
        <v>14</v>
      </c>
      <c r="BL2942">
        <v>216.13</v>
      </c>
      <c r="BM2942">
        <v>32.42</v>
      </c>
      <c r="BN2942">
        <v>248.55</v>
      </c>
      <c r="BO2942">
        <v>248.55</v>
      </c>
      <c r="BQ2942" t="s">
        <v>3311</v>
      </c>
      <c r="BR2942" t="s">
        <v>97</v>
      </c>
      <c r="BS2942" t="s">
        <v>2659</v>
      </c>
      <c r="BW2942" t="s">
        <v>2230</v>
      </c>
      <c r="BX2942" t="s">
        <v>677</v>
      </c>
      <c r="BY2942">
        <v>67573.98</v>
      </c>
      <c r="BZ2942" t="s">
        <v>30</v>
      </c>
      <c r="CC2942" t="s">
        <v>3309</v>
      </c>
      <c r="CD2942" s="5" t="s">
        <v>3312</v>
      </c>
      <c r="CE2942" t="s">
        <v>107</v>
      </c>
      <c r="CI2942">
        <v>1</v>
      </c>
      <c r="CJ2942" t="s">
        <v>2659</v>
      </c>
      <c r="CK2942">
        <v>43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"080068723065"</f>
        <v>080068723065</v>
      </c>
      <c r="F2943" s="3">
        <v>45954</v>
      </c>
      <c r="G2943">
        <v>202607</v>
      </c>
      <c r="H2943" t="s">
        <v>79</v>
      </c>
      <c r="I2943" t="s">
        <v>80</v>
      </c>
      <c r="J2943" t="s">
        <v>91</v>
      </c>
      <c r="K2943" t="s">
        <v>78</v>
      </c>
      <c r="L2943" t="s">
        <v>108</v>
      </c>
      <c r="M2943" t="s">
        <v>109</v>
      </c>
      <c r="N2943" t="s">
        <v>515</v>
      </c>
      <c r="O2943" t="s">
        <v>95</v>
      </c>
      <c r="P2943" t="str">
        <f>"4170065986                    "</f>
        <v xml:space="preserve">4170065986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55.72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21.2</v>
      </c>
      <c r="BJ2943">
        <v>9.4</v>
      </c>
      <c r="BK2943">
        <v>22</v>
      </c>
      <c r="BL2943">
        <v>182.73</v>
      </c>
      <c r="BM2943">
        <v>27.41</v>
      </c>
      <c r="BN2943">
        <v>210.14</v>
      </c>
      <c r="BO2943">
        <v>210.14</v>
      </c>
      <c r="BQ2943" t="s">
        <v>516</v>
      </c>
      <c r="BR2943" t="s">
        <v>97</v>
      </c>
      <c r="BS2943" s="3">
        <v>45957</v>
      </c>
      <c r="BT2943" s="4">
        <v>0.37569444444444444</v>
      </c>
      <c r="BU2943" t="s">
        <v>3313</v>
      </c>
      <c r="BV2943" t="s">
        <v>86</v>
      </c>
      <c r="BY2943">
        <v>47139.839999999997</v>
      </c>
      <c r="CA2943" t="s">
        <v>559</v>
      </c>
      <c r="CC2943" t="s">
        <v>109</v>
      </c>
      <c r="CD2943">
        <v>6001</v>
      </c>
      <c r="CE2943" t="s">
        <v>191</v>
      </c>
      <c r="CF2943" s="3">
        <v>45957</v>
      </c>
      <c r="CI2943">
        <v>3</v>
      </c>
      <c r="CJ2943">
        <v>1</v>
      </c>
      <c r="CK2943">
        <v>41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"080068723072"</f>
        <v>080068723072</v>
      </c>
      <c r="F2944" s="3">
        <v>45954</v>
      </c>
      <c r="G2944">
        <v>202607</v>
      </c>
      <c r="H2944" t="s">
        <v>79</v>
      </c>
      <c r="I2944" t="s">
        <v>80</v>
      </c>
      <c r="J2944" t="s">
        <v>91</v>
      </c>
      <c r="K2944" t="s">
        <v>78</v>
      </c>
      <c r="L2944" t="s">
        <v>206</v>
      </c>
      <c r="M2944" t="s">
        <v>207</v>
      </c>
      <c r="N2944" t="s">
        <v>734</v>
      </c>
      <c r="O2944" t="s">
        <v>82</v>
      </c>
      <c r="P2944" t="str">
        <f>"4170066029                    "</f>
        <v xml:space="preserve">4170066029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22.36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70.959999999999994</v>
      </c>
      <c r="BM2944">
        <v>10.64</v>
      </c>
      <c r="BN2944">
        <v>81.599999999999994</v>
      </c>
      <c r="BO2944">
        <v>81.599999999999994</v>
      </c>
      <c r="BQ2944" t="s">
        <v>735</v>
      </c>
      <c r="BR2944" t="s">
        <v>97</v>
      </c>
      <c r="BS2944" s="3">
        <v>45957</v>
      </c>
      <c r="BT2944" s="4">
        <v>0.45347222222222222</v>
      </c>
      <c r="BU2944" t="s">
        <v>736</v>
      </c>
      <c r="BV2944" t="s">
        <v>90</v>
      </c>
      <c r="BW2944" t="s">
        <v>771</v>
      </c>
      <c r="BX2944" t="s">
        <v>2043</v>
      </c>
      <c r="BY2944">
        <v>1200</v>
      </c>
      <c r="CA2944" t="s">
        <v>480</v>
      </c>
      <c r="CC2944" t="s">
        <v>207</v>
      </c>
      <c r="CD2944">
        <v>7480</v>
      </c>
      <c r="CE2944" t="s">
        <v>147</v>
      </c>
      <c r="CF2944" s="3">
        <v>45958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"080068723112"</f>
        <v>080068723112</v>
      </c>
      <c r="F2945" s="3">
        <v>45954</v>
      </c>
      <c r="G2945">
        <v>202607</v>
      </c>
      <c r="H2945" t="s">
        <v>79</v>
      </c>
      <c r="I2945" t="s">
        <v>80</v>
      </c>
      <c r="J2945" t="s">
        <v>91</v>
      </c>
      <c r="K2945" t="s">
        <v>78</v>
      </c>
      <c r="L2945" t="s">
        <v>959</v>
      </c>
      <c r="M2945" t="s">
        <v>960</v>
      </c>
      <c r="N2945" t="s">
        <v>961</v>
      </c>
      <c r="O2945" t="s">
        <v>82</v>
      </c>
      <c r="P2945" t="str">
        <f>"4170066031                    "</f>
        <v xml:space="preserve">4170066031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43.31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137.47</v>
      </c>
      <c r="BM2945">
        <v>20.62</v>
      </c>
      <c r="BN2945">
        <v>158.09</v>
      </c>
      <c r="BO2945">
        <v>158.09</v>
      </c>
      <c r="BQ2945" t="s">
        <v>962</v>
      </c>
      <c r="BR2945" t="s">
        <v>97</v>
      </c>
      <c r="BS2945" s="3">
        <v>45957</v>
      </c>
      <c r="BT2945" s="4">
        <v>0.66249999999999998</v>
      </c>
      <c r="BU2945" t="s">
        <v>1103</v>
      </c>
      <c r="BV2945" t="s">
        <v>86</v>
      </c>
      <c r="BY2945">
        <v>1200</v>
      </c>
      <c r="CA2945" t="s">
        <v>1104</v>
      </c>
      <c r="CC2945" t="s">
        <v>960</v>
      </c>
      <c r="CD2945">
        <v>6300</v>
      </c>
      <c r="CE2945" t="s">
        <v>147</v>
      </c>
      <c r="CI2945">
        <v>2</v>
      </c>
      <c r="CJ2945">
        <v>1</v>
      </c>
      <c r="CK2945">
        <v>23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"080068723121"</f>
        <v>080068723121</v>
      </c>
      <c r="F2946" s="3">
        <v>45954</v>
      </c>
      <c r="G2946">
        <v>202607</v>
      </c>
      <c r="H2946" t="s">
        <v>79</v>
      </c>
      <c r="I2946" t="s">
        <v>80</v>
      </c>
      <c r="J2946" t="s">
        <v>91</v>
      </c>
      <c r="K2946" t="s">
        <v>78</v>
      </c>
      <c r="L2946" t="s">
        <v>180</v>
      </c>
      <c r="M2946" t="s">
        <v>181</v>
      </c>
      <c r="N2946" t="s">
        <v>2174</v>
      </c>
      <c r="O2946" t="s">
        <v>82</v>
      </c>
      <c r="P2946" t="str">
        <f>"4170065983                    "</f>
        <v xml:space="preserve">4170065983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72.650000000000006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3.5</v>
      </c>
      <c r="BJ2946">
        <v>1.5</v>
      </c>
      <c r="BK2946">
        <v>3.5</v>
      </c>
      <c r="BL2946">
        <v>230.59</v>
      </c>
      <c r="BM2946">
        <v>34.590000000000003</v>
      </c>
      <c r="BN2946">
        <v>265.18</v>
      </c>
      <c r="BO2946">
        <v>265.18</v>
      </c>
      <c r="BQ2946" t="s">
        <v>2175</v>
      </c>
      <c r="BR2946" t="s">
        <v>97</v>
      </c>
      <c r="BS2946" s="3">
        <v>45957</v>
      </c>
      <c r="BT2946" s="4">
        <v>0.52500000000000002</v>
      </c>
      <c r="BU2946" t="s">
        <v>3314</v>
      </c>
      <c r="BV2946" t="s">
        <v>86</v>
      </c>
      <c r="BY2946">
        <v>7512.6</v>
      </c>
      <c r="CA2946">
        <v>8410105735081</v>
      </c>
      <c r="CC2946" t="s">
        <v>181</v>
      </c>
      <c r="CD2946">
        <v>1020</v>
      </c>
      <c r="CE2946" t="s">
        <v>191</v>
      </c>
      <c r="CF2946" s="3">
        <v>45957</v>
      </c>
      <c r="CI2946">
        <v>1</v>
      </c>
      <c r="CJ2946">
        <v>1</v>
      </c>
      <c r="CK2946">
        <v>23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"080068723134"</f>
        <v>080068723134</v>
      </c>
      <c r="F2947" s="3">
        <v>45954</v>
      </c>
      <c r="G2947">
        <v>202607</v>
      </c>
      <c r="H2947" t="s">
        <v>79</v>
      </c>
      <c r="I2947" t="s">
        <v>80</v>
      </c>
      <c r="J2947" t="s">
        <v>91</v>
      </c>
      <c r="K2947" t="s">
        <v>78</v>
      </c>
      <c r="L2947" t="s">
        <v>985</v>
      </c>
      <c r="M2947" t="s">
        <v>986</v>
      </c>
      <c r="N2947" t="s">
        <v>987</v>
      </c>
      <c r="O2947" t="s">
        <v>82</v>
      </c>
      <c r="P2947" t="str">
        <f>"4170066075                    "</f>
        <v xml:space="preserve">4170066075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22.36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70.959999999999994</v>
      </c>
      <c r="BM2947">
        <v>10.64</v>
      </c>
      <c r="BN2947">
        <v>81.599999999999994</v>
      </c>
      <c r="BO2947">
        <v>81.599999999999994</v>
      </c>
      <c r="BQ2947" t="s">
        <v>988</v>
      </c>
      <c r="BR2947" t="s">
        <v>97</v>
      </c>
      <c r="BS2947" s="3">
        <v>45957</v>
      </c>
      <c r="BT2947" s="4">
        <v>0.41666666666666669</v>
      </c>
      <c r="BU2947" t="s">
        <v>3282</v>
      </c>
      <c r="BV2947" t="s">
        <v>86</v>
      </c>
      <c r="BY2947">
        <v>1200</v>
      </c>
      <c r="CC2947" t="s">
        <v>986</v>
      </c>
      <c r="CD2947">
        <v>7600</v>
      </c>
      <c r="CE2947" t="s">
        <v>147</v>
      </c>
      <c r="CF2947" s="3">
        <v>45958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"080068723249"</f>
        <v>080068723249</v>
      </c>
      <c r="F2948" s="3">
        <v>45954</v>
      </c>
      <c r="G2948">
        <v>202607</v>
      </c>
      <c r="H2948" t="s">
        <v>79</v>
      </c>
      <c r="I2948" t="s">
        <v>80</v>
      </c>
      <c r="J2948" t="s">
        <v>91</v>
      </c>
      <c r="K2948" t="s">
        <v>78</v>
      </c>
      <c r="L2948" t="s">
        <v>453</v>
      </c>
      <c r="M2948" t="s">
        <v>454</v>
      </c>
      <c r="N2948" t="s">
        <v>665</v>
      </c>
      <c r="O2948" t="s">
        <v>82</v>
      </c>
      <c r="P2948" t="str">
        <f>"4170066033                    "</f>
        <v xml:space="preserve">4170066033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22.36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70.959999999999994</v>
      </c>
      <c r="BM2948">
        <v>10.64</v>
      </c>
      <c r="BN2948">
        <v>81.599999999999994</v>
      </c>
      <c r="BO2948">
        <v>81.599999999999994</v>
      </c>
      <c r="BQ2948" t="s">
        <v>666</v>
      </c>
      <c r="BR2948" t="s">
        <v>97</v>
      </c>
      <c r="BS2948" s="3">
        <v>45957</v>
      </c>
      <c r="BT2948" s="4">
        <v>0.48958333333333331</v>
      </c>
      <c r="BU2948" t="s">
        <v>667</v>
      </c>
      <c r="BV2948" t="s">
        <v>86</v>
      </c>
      <c r="BY2948">
        <v>1200</v>
      </c>
      <c r="CA2948" t="s">
        <v>742</v>
      </c>
      <c r="CC2948" t="s">
        <v>454</v>
      </c>
      <c r="CD2948">
        <v>3610</v>
      </c>
      <c r="CE2948" t="s">
        <v>147</v>
      </c>
      <c r="CF2948" s="3">
        <v>45958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"080068723257"</f>
        <v>080068723257</v>
      </c>
      <c r="F2949" s="3">
        <v>45954</v>
      </c>
      <c r="G2949">
        <v>202607</v>
      </c>
      <c r="H2949" t="s">
        <v>79</v>
      </c>
      <c r="I2949" t="s">
        <v>80</v>
      </c>
      <c r="J2949" t="s">
        <v>91</v>
      </c>
      <c r="K2949" t="s">
        <v>78</v>
      </c>
      <c r="L2949" t="s">
        <v>446</v>
      </c>
      <c r="M2949" t="s">
        <v>447</v>
      </c>
      <c r="N2949" t="s">
        <v>448</v>
      </c>
      <c r="O2949" t="s">
        <v>82</v>
      </c>
      <c r="P2949" t="str">
        <f>"4170065984                    "</f>
        <v xml:space="preserve">4170065984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82.43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4</v>
      </c>
      <c r="BJ2949">
        <v>3.4</v>
      </c>
      <c r="BK2949">
        <v>4</v>
      </c>
      <c r="BL2949">
        <v>261.63</v>
      </c>
      <c r="BM2949">
        <v>39.24</v>
      </c>
      <c r="BN2949">
        <v>300.87</v>
      </c>
      <c r="BO2949">
        <v>300.87</v>
      </c>
      <c r="BQ2949" t="s">
        <v>449</v>
      </c>
      <c r="BR2949" t="s">
        <v>97</v>
      </c>
      <c r="BS2949" s="3">
        <v>45957</v>
      </c>
      <c r="BT2949" s="4">
        <v>0.49791666666666667</v>
      </c>
      <c r="BU2949" t="s">
        <v>450</v>
      </c>
      <c r="BV2949" t="s">
        <v>86</v>
      </c>
      <c r="BY2949">
        <v>16965</v>
      </c>
      <c r="CA2949" t="s">
        <v>1124</v>
      </c>
      <c r="CC2949" t="s">
        <v>447</v>
      </c>
      <c r="CD2949">
        <v>7130</v>
      </c>
      <c r="CE2949" t="s">
        <v>191</v>
      </c>
      <c r="CF2949" s="3">
        <v>45958</v>
      </c>
      <c r="CI2949">
        <v>1</v>
      </c>
      <c r="CJ2949">
        <v>1</v>
      </c>
      <c r="CK2949">
        <v>23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"080068723276"</f>
        <v>080068723276</v>
      </c>
      <c r="F2950" s="3">
        <v>45954</v>
      </c>
      <c r="G2950">
        <v>202607</v>
      </c>
      <c r="H2950" t="s">
        <v>79</v>
      </c>
      <c r="I2950" t="s">
        <v>80</v>
      </c>
      <c r="J2950" t="s">
        <v>91</v>
      </c>
      <c r="K2950" t="s">
        <v>78</v>
      </c>
      <c r="L2950" t="s">
        <v>300</v>
      </c>
      <c r="M2950" t="s">
        <v>301</v>
      </c>
      <c r="N2950" t="s">
        <v>3315</v>
      </c>
      <c r="O2950" t="s">
        <v>82</v>
      </c>
      <c r="P2950" t="str">
        <f>"4170065104                    "</f>
        <v xml:space="preserve">4170065104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31.44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99.79</v>
      </c>
      <c r="BM2950">
        <v>14.97</v>
      </c>
      <c r="BN2950">
        <v>114.76</v>
      </c>
      <c r="BO2950">
        <v>114.76</v>
      </c>
      <c r="BQ2950" t="s">
        <v>3316</v>
      </c>
      <c r="BR2950" t="s">
        <v>97</v>
      </c>
      <c r="BS2950" s="3">
        <v>45957</v>
      </c>
      <c r="BT2950" s="4">
        <v>0.46666666666666667</v>
      </c>
      <c r="BU2950" t="s">
        <v>1551</v>
      </c>
      <c r="BV2950" t="s">
        <v>86</v>
      </c>
      <c r="BY2950">
        <v>1200</v>
      </c>
      <c r="CA2950" t="s">
        <v>3317</v>
      </c>
      <c r="CC2950" t="s">
        <v>301</v>
      </c>
      <c r="CD2950">
        <v>1739</v>
      </c>
      <c r="CE2950" t="s">
        <v>147</v>
      </c>
      <c r="CF2950" s="3">
        <v>45957</v>
      </c>
      <c r="CI2950">
        <v>1</v>
      </c>
      <c r="CJ2950">
        <v>1</v>
      </c>
      <c r="CK2950">
        <v>24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"080068723288"</f>
        <v>080068723288</v>
      </c>
      <c r="F2951" s="3">
        <v>45954</v>
      </c>
      <c r="G2951">
        <v>202607</v>
      </c>
      <c r="H2951" t="s">
        <v>79</v>
      </c>
      <c r="I2951" t="s">
        <v>80</v>
      </c>
      <c r="J2951" t="s">
        <v>91</v>
      </c>
      <c r="K2951" t="s">
        <v>78</v>
      </c>
      <c r="L2951" t="s">
        <v>333</v>
      </c>
      <c r="M2951" t="s">
        <v>334</v>
      </c>
      <c r="N2951" t="s">
        <v>1388</v>
      </c>
      <c r="O2951" t="s">
        <v>82</v>
      </c>
      <c r="P2951" t="str">
        <f>"4170066030                    "</f>
        <v xml:space="preserve">4170066030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22.36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1.1000000000000001</v>
      </c>
      <c r="BK2951">
        <v>1.5</v>
      </c>
      <c r="BL2951">
        <v>70.959999999999994</v>
      </c>
      <c r="BM2951">
        <v>10.64</v>
      </c>
      <c r="BN2951">
        <v>81.599999999999994</v>
      </c>
      <c r="BO2951">
        <v>81.599999999999994</v>
      </c>
      <c r="BQ2951" t="s">
        <v>1389</v>
      </c>
      <c r="BR2951" t="s">
        <v>97</v>
      </c>
      <c r="BS2951" s="3">
        <v>45957</v>
      </c>
      <c r="BT2951" s="4">
        <v>0.42916666666666664</v>
      </c>
      <c r="BU2951" t="s">
        <v>2413</v>
      </c>
      <c r="BV2951" t="s">
        <v>86</v>
      </c>
      <c r="BY2951">
        <v>5510</v>
      </c>
      <c r="CA2951" t="s">
        <v>142</v>
      </c>
      <c r="CC2951" t="s">
        <v>334</v>
      </c>
      <c r="CD2951">
        <v>6220</v>
      </c>
      <c r="CE2951" t="s">
        <v>191</v>
      </c>
      <c r="CF2951" s="3">
        <v>45957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"080068723315"</f>
        <v>080068723315</v>
      </c>
      <c r="F2952" s="3">
        <v>45954</v>
      </c>
      <c r="G2952">
        <v>202607</v>
      </c>
      <c r="H2952" t="s">
        <v>79</v>
      </c>
      <c r="I2952" t="s">
        <v>80</v>
      </c>
      <c r="J2952" t="s">
        <v>91</v>
      </c>
      <c r="K2952" t="s">
        <v>78</v>
      </c>
      <c r="L2952" t="s">
        <v>306</v>
      </c>
      <c r="M2952" t="s">
        <v>307</v>
      </c>
      <c r="N2952" t="s">
        <v>308</v>
      </c>
      <c r="O2952" t="s">
        <v>82</v>
      </c>
      <c r="P2952" t="str">
        <f>"4170065904                    "</f>
        <v xml:space="preserve">4170065904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22.36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2</v>
      </c>
      <c r="BJ2952">
        <v>1.9</v>
      </c>
      <c r="BK2952">
        <v>2</v>
      </c>
      <c r="BL2952">
        <v>70.959999999999994</v>
      </c>
      <c r="BM2952">
        <v>10.64</v>
      </c>
      <c r="BN2952">
        <v>81.599999999999994</v>
      </c>
      <c r="BO2952">
        <v>81.599999999999994</v>
      </c>
      <c r="BQ2952" t="s">
        <v>309</v>
      </c>
      <c r="BR2952" t="s">
        <v>97</v>
      </c>
      <c r="BS2952" s="3">
        <v>45957</v>
      </c>
      <c r="BT2952" s="4">
        <v>0.58263888888888893</v>
      </c>
      <c r="BU2952" t="s">
        <v>1584</v>
      </c>
      <c r="BV2952" t="s">
        <v>90</v>
      </c>
      <c r="BW2952" t="s">
        <v>136</v>
      </c>
      <c r="BX2952" t="s">
        <v>858</v>
      </c>
      <c r="BY2952">
        <v>9600</v>
      </c>
      <c r="CA2952" t="s">
        <v>157</v>
      </c>
      <c r="CC2952" t="s">
        <v>307</v>
      </c>
      <c r="CD2952">
        <v>4113</v>
      </c>
      <c r="CE2952" t="s">
        <v>191</v>
      </c>
      <c r="CF2952" s="3">
        <v>45958</v>
      </c>
      <c r="CI2952">
        <v>1</v>
      </c>
      <c r="CJ2952">
        <v>1</v>
      </c>
      <c r="CK2952">
        <v>21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"080068723349"</f>
        <v>080068723349</v>
      </c>
      <c r="F2953" s="3">
        <v>45954</v>
      </c>
      <c r="G2953">
        <v>202607</v>
      </c>
      <c r="H2953" t="s">
        <v>79</v>
      </c>
      <c r="I2953" t="s">
        <v>80</v>
      </c>
      <c r="J2953" t="s">
        <v>91</v>
      </c>
      <c r="K2953" t="s">
        <v>78</v>
      </c>
      <c r="L2953" t="s">
        <v>218</v>
      </c>
      <c r="M2953" t="s">
        <v>219</v>
      </c>
      <c r="N2953" t="s">
        <v>520</v>
      </c>
      <c r="O2953" t="s">
        <v>82</v>
      </c>
      <c r="P2953" t="str">
        <f>"4170066025                    "</f>
        <v xml:space="preserve">4170066025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17.46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0.8</v>
      </c>
      <c r="BJ2953">
        <v>0.8</v>
      </c>
      <c r="BK2953">
        <v>1</v>
      </c>
      <c r="BL2953">
        <v>55.42</v>
      </c>
      <c r="BM2953">
        <v>8.31</v>
      </c>
      <c r="BN2953">
        <v>63.73</v>
      </c>
      <c r="BO2953">
        <v>63.73</v>
      </c>
      <c r="BQ2953" t="s">
        <v>1805</v>
      </c>
      <c r="BR2953" t="s">
        <v>97</v>
      </c>
      <c r="BS2953" s="3">
        <v>45957</v>
      </c>
      <c r="BT2953" s="4">
        <v>0.41666666666666669</v>
      </c>
      <c r="BU2953" t="s">
        <v>1873</v>
      </c>
      <c r="BV2953" t="s">
        <v>86</v>
      </c>
      <c r="BY2953">
        <v>3835.2</v>
      </c>
      <c r="CA2953" t="s">
        <v>1434</v>
      </c>
      <c r="CC2953" t="s">
        <v>219</v>
      </c>
      <c r="CD2953">
        <v>1559</v>
      </c>
      <c r="CE2953" t="s">
        <v>191</v>
      </c>
      <c r="CF2953" s="3">
        <v>45958</v>
      </c>
      <c r="CI2953">
        <v>1</v>
      </c>
      <c r="CJ2953">
        <v>1</v>
      </c>
      <c r="CK2953">
        <v>22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"080068723428"</f>
        <v>080068723428</v>
      </c>
      <c r="F2954" s="3">
        <v>45954</v>
      </c>
      <c r="G2954">
        <v>202607</v>
      </c>
      <c r="H2954" t="s">
        <v>79</v>
      </c>
      <c r="I2954" t="s">
        <v>80</v>
      </c>
      <c r="J2954" t="s">
        <v>91</v>
      </c>
      <c r="K2954" t="s">
        <v>78</v>
      </c>
      <c r="L2954" t="s">
        <v>79</v>
      </c>
      <c r="M2954" t="s">
        <v>80</v>
      </c>
      <c r="N2954" t="s">
        <v>1040</v>
      </c>
      <c r="O2954" t="s">
        <v>82</v>
      </c>
      <c r="P2954" t="str">
        <f>"4170066026                    "</f>
        <v xml:space="preserve">4170066026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17.46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0.2</v>
      </c>
      <c r="BJ2954">
        <v>1</v>
      </c>
      <c r="BK2954">
        <v>1</v>
      </c>
      <c r="BL2954">
        <v>55.42</v>
      </c>
      <c r="BM2954">
        <v>8.31</v>
      </c>
      <c r="BN2954">
        <v>63.73</v>
      </c>
      <c r="BO2954">
        <v>63.73</v>
      </c>
      <c r="BQ2954" t="s">
        <v>1041</v>
      </c>
      <c r="BR2954" t="s">
        <v>97</v>
      </c>
      <c r="BS2954" s="3">
        <v>45957</v>
      </c>
      <c r="BT2954" s="4">
        <v>0.29166666666666669</v>
      </c>
      <c r="BU2954" t="s">
        <v>1662</v>
      </c>
      <c r="BV2954" t="s">
        <v>86</v>
      </c>
      <c r="BY2954">
        <v>4890.6000000000004</v>
      </c>
      <c r="CA2954" t="s">
        <v>166</v>
      </c>
      <c r="CC2954" t="s">
        <v>80</v>
      </c>
      <c r="CD2954">
        <v>1600</v>
      </c>
      <c r="CE2954" t="s">
        <v>191</v>
      </c>
      <c r="CF2954" s="3">
        <v>45958</v>
      </c>
      <c r="CI2954">
        <v>1</v>
      </c>
      <c r="CJ2954">
        <v>1</v>
      </c>
      <c r="CK2954">
        <v>22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"080068723443"</f>
        <v>080068723443</v>
      </c>
      <c r="F2955" s="3">
        <v>45954</v>
      </c>
      <c r="G2955">
        <v>202607</v>
      </c>
      <c r="H2955" t="s">
        <v>79</v>
      </c>
      <c r="I2955" t="s">
        <v>80</v>
      </c>
      <c r="J2955" t="s">
        <v>91</v>
      </c>
      <c r="K2955" t="s">
        <v>78</v>
      </c>
      <c r="L2955" t="s">
        <v>809</v>
      </c>
      <c r="M2955" t="s">
        <v>810</v>
      </c>
      <c r="N2955" t="s">
        <v>3318</v>
      </c>
      <c r="O2955" t="s">
        <v>82</v>
      </c>
      <c r="P2955" t="str">
        <f>"4170065922                    "</f>
        <v xml:space="preserve">4170065922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17.46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55.42</v>
      </c>
      <c r="BM2955">
        <v>8.31</v>
      </c>
      <c r="BN2955">
        <v>63.73</v>
      </c>
      <c r="BO2955">
        <v>63.73</v>
      </c>
      <c r="BQ2955" t="s">
        <v>3319</v>
      </c>
      <c r="BR2955" t="s">
        <v>97</v>
      </c>
      <c r="BS2955" s="3">
        <v>45957</v>
      </c>
      <c r="BT2955" s="4">
        <v>0.40972222222222221</v>
      </c>
      <c r="BU2955" t="s">
        <v>3320</v>
      </c>
      <c r="BV2955" t="s">
        <v>86</v>
      </c>
      <c r="BY2955">
        <v>1200</v>
      </c>
      <c r="CA2955" t="s">
        <v>1284</v>
      </c>
      <c r="CC2955" t="s">
        <v>810</v>
      </c>
      <c r="CD2955">
        <v>1724</v>
      </c>
      <c r="CE2955" t="s">
        <v>147</v>
      </c>
      <c r="CF2955" s="3">
        <v>45957</v>
      </c>
      <c r="CI2955">
        <v>1</v>
      </c>
      <c r="CJ2955">
        <v>1</v>
      </c>
      <c r="CK2955">
        <v>22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"080068723455"</f>
        <v>080068723455</v>
      </c>
      <c r="F2956" s="3">
        <v>45954</v>
      </c>
      <c r="G2956">
        <v>202607</v>
      </c>
      <c r="H2956" t="s">
        <v>79</v>
      </c>
      <c r="I2956" t="s">
        <v>80</v>
      </c>
      <c r="J2956" t="s">
        <v>91</v>
      </c>
      <c r="K2956" t="s">
        <v>78</v>
      </c>
      <c r="L2956" t="s">
        <v>206</v>
      </c>
      <c r="M2956" t="s">
        <v>207</v>
      </c>
      <c r="N2956" t="s">
        <v>1951</v>
      </c>
      <c r="O2956" t="s">
        <v>82</v>
      </c>
      <c r="P2956" t="str">
        <f>"4170065900                    "</f>
        <v xml:space="preserve">4170065900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22.36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70.959999999999994</v>
      </c>
      <c r="BM2956">
        <v>10.64</v>
      </c>
      <c r="BN2956">
        <v>81.599999999999994</v>
      </c>
      <c r="BO2956">
        <v>81.599999999999994</v>
      </c>
      <c r="BQ2956" t="s">
        <v>1952</v>
      </c>
      <c r="BR2956" t="s">
        <v>97</v>
      </c>
      <c r="BS2956" s="3">
        <v>45957</v>
      </c>
      <c r="BT2956" s="4">
        <v>0.38680555555555557</v>
      </c>
      <c r="BU2956" t="s">
        <v>3254</v>
      </c>
      <c r="BV2956" t="s">
        <v>86</v>
      </c>
      <c r="BY2956">
        <v>1200</v>
      </c>
      <c r="CA2956" t="s">
        <v>211</v>
      </c>
      <c r="CC2956" t="s">
        <v>207</v>
      </c>
      <c r="CD2956">
        <v>7441</v>
      </c>
      <c r="CE2956" t="s">
        <v>147</v>
      </c>
      <c r="CF2956" s="3">
        <v>45958</v>
      </c>
      <c r="CI2956">
        <v>1</v>
      </c>
      <c r="CJ2956">
        <v>1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"080068723468"</f>
        <v>080068723468</v>
      </c>
      <c r="F2957" s="3">
        <v>45954</v>
      </c>
      <c r="G2957">
        <v>202607</v>
      </c>
      <c r="H2957" t="s">
        <v>79</v>
      </c>
      <c r="I2957" t="s">
        <v>80</v>
      </c>
      <c r="J2957" t="s">
        <v>91</v>
      </c>
      <c r="K2957" t="s">
        <v>78</v>
      </c>
      <c r="L2957" t="s">
        <v>281</v>
      </c>
      <c r="M2957" t="s">
        <v>282</v>
      </c>
      <c r="N2957" t="s">
        <v>2015</v>
      </c>
      <c r="O2957" t="s">
        <v>82</v>
      </c>
      <c r="P2957" t="str">
        <f>"4170065980                    "</f>
        <v xml:space="preserve">4170065980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43.31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137.47</v>
      </c>
      <c r="BM2957">
        <v>20.62</v>
      </c>
      <c r="BN2957">
        <v>158.09</v>
      </c>
      <c r="BO2957">
        <v>158.09</v>
      </c>
      <c r="BQ2957" t="s">
        <v>2016</v>
      </c>
      <c r="BR2957" t="s">
        <v>97</v>
      </c>
      <c r="BS2957" s="3">
        <v>45957</v>
      </c>
      <c r="BT2957" s="4">
        <v>0.4375</v>
      </c>
      <c r="BU2957" t="s">
        <v>2017</v>
      </c>
      <c r="BV2957" t="s">
        <v>86</v>
      </c>
      <c r="BY2957">
        <v>1200</v>
      </c>
      <c r="CA2957" t="s">
        <v>2018</v>
      </c>
      <c r="CC2957" t="s">
        <v>282</v>
      </c>
      <c r="CD2957">
        <v>1961</v>
      </c>
      <c r="CE2957" t="s">
        <v>147</v>
      </c>
      <c r="CF2957" s="3">
        <v>45958</v>
      </c>
      <c r="CI2957">
        <v>1</v>
      </c>
      <c r="CJ2957">
        <v>1</v>
      </c>
      <c r="CK2957">
        <v>23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"080068723480"</f>
        <v>080068723480</v>
      </c>
      <c r="F2958" s="3">
        <v>45954</v>
      </c>
      <c r="G2958">
        <v>202607</v>
      </c>
      <c r="H2958" t="s">
        <v>79</v>
      </c>
      <c r="I2958" t="s">
        <v>80</v>
      </c>
      <c r="J2958" t="s">
        <v>91</v>
      </c>
      <c r="K2958" t="s">
        <v>78</v>
      </c>
      <c r="L2958" t="s">
        <v>469</v>
      </c>
      <c r="M2958" t="s">
        <v>470</v>
      </c>
      <c r="N2958" t="s">
        <v>471</v>
      </c>
      <c r="O2958" t="s">
        <v>82</v>
      </c>
      <c r="P2958" t="str">
        <f>"4170066055                    "</f>
        <v xml:space="preserve">4170066055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43.31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137.47</v>
      </c>
      <c r="BM2958">
        <v>20.62</v>
      </c>
      <c r="BN2958">
        <v>158.09</v>
      </c>
      <c r="BO2958">
        <v>158.09</v>
      </c>
      <c r="BQ2958" t="s">
        <v>472</v>
      </c>
      <c r="BR2958" t="s">
        <v>97</v>
      </c>
      <c r="BS2958" s="3">
        <v>45957</v>
      </c>
      <c r="BT2958" s="4">
        <v>0.63611111111111107</v>
      </c>
      <c r="BU2958" t="s">
        <v>3321</v>
      </c>
      <c r="BV2958" t="s">
        <v>86</v>
      </c>
      <c r="BY2958">
        <v>1200</v>
      </c>
      <c r="CA2958" t="s">
        <v>2618</v>
      </c>
      <c r="CC2958" t="s">
        <v>470</v>
      </c>
      <c r="CD2958">
        <v>7299</v>
      </c>
      <c r="CE2958" t="s">
        <v>147</v>
      </c>
      <c r="CF2958" s="3">
        <v>45958</v>
      </c>
      <c r="CI2958">
        <v>1</v>
      </c>
      <c r="CJ2958">
        <v>1</v>
      </c>
      <c r="CK2958">
        <v>23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"080068723481"</f>
        <v>080068723481</v>
      </c>
      <c r="F2959" s="3">
        <v>45954</v>
      </c>
      <c r="G2959">
        <v>202607</v>
      </c>
      <c r="H2959" t="s">
        <v>79</v>
      </c>
      <c r="I2959" t="s">
        <v>80</v>
      </c>
      <c r="J2959" t="s">
        <v>91</v>
      </c>
      <c r="K2959" t="s">
        <v>78</v>
      </c>
      <c r="L2959" t="s">
        <v>306</v>
      </c>
      <c r="M2959" t="s">
        <v>307</v>
      </c>
      <c r="N2959" t="s">
        <v>308</v>
      </c>
      <c r="O2959" t="s">
        <v>82</v>
      </c>
      <c r="P2959" t="str">
        <f>"4170065978                    "</f>
        <v xml:space="preserve">4170065978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78.2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7</v>
      </c>
      <c r="BJ2959">
        <v>3.4</v>
      </c>
      <c r="BK2959">
        <v>7</v>
      </c>
      <c r="BL2959">
        <v>248.2</v>
      </c>
      <c r="BM2959">
        <v>37.229999999999997</v>
      </c>
      <c r="BN2959">
        <v>285.43</v>
      </c>
      <c r="BO2959">
        <v>285.43</v>
      </c>
      <c r="BQ2959" t="s">
        <v>309</v>
      </c>
      <c r="BR2959" t="s">
        <v>97</v>
      </c>
      <c r="BS2959" s="3">
        <v>45957</v>
      </c>
      <c r="BT2959" s="4">
        <v>0.58333333333333337</v>
      </c>
      <c r="BU2959" t="s">
        <v>1584</v>
      </c>
      <c r="BV2959" t="s">
        <v>90</v>
      </c>
      <c r="BW2959" t="s">
        <v>136</v>
      </c>
      <c r="BX2959" t="s">
        <v>858</v>
      </c>
      <c r="BY2959">
        <v>16965</v>
      </c>
      <c r="CA2959" t="s">
        <v>157</v>
      </c>
      <c r="CC2959" t="s">
        <v>307</v>
      </c>
      <c r="CD2959">
        <v>4113</v>
      </c>
      <c r="CE2959" t="s">
        <v>191</v>
      </c>
      <c r="CF2959" s="3">
        <v>45958</v>
      </c>
      <c r="CI2959">
        <v>1</v>
      </c>
      <c r="CJ2959">
        <v>1</v>
      </c>
      <c r="CK2959">
        <v>21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"080068723487"</f>
        <v>080068723487</v>
      </c>
      <c r="F2960" s="3">
        <v>45954</v>
      </c>
      <c r="G2960">
        <v>202607</v>
      </c>
      <c r="H2960" t="s">
        <v>79</v>
      </c>
      <c r="I2960" t="s">
        <v>80</v>
      </c>
      <c r="J2960" t="s">
        <v>91</v>
      </c>
      <c r="K2960" t="s">
        <v>78</v>
      </c>
      <c r="L2960" t="s">
        <v>206</v>
      </c>
      <c r="M2960" t="s">
        <v>207</v>
      </c>
      <c r="N2960" t="s">
        <v>566</v>
      </c>
      <c r="O2960" t="s">
        <v>82</v>
      </c>
      <c r="P2960" t="str">
        <f>"4170066021                    "</f>
        <v xml:space="preserve">4170066021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22.36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70.959999999999994</v>
      </c>
      <c r="BM2960">
        <v>10.64</v>
      </c>
      <c r="BN2960">
        <v>81.599999999999994</v>
      </c>
      <c r="BO2960">
        <v>81.599999999999994</v>
      </c>
      <c r="BQ2960" t="s">
        <v>567</v>
      </c>
      <c r="BR2960" t="s">
        <v>97</v>
      </c>
      <c r="BS2960" s="3">
        <v>45957</v>
      </c>
      <c r="BT2960" s="4">
        <v>0.37222222222222223</v>
      </c>
      <c r="BU2960" t="s">
        <v>3322</v>
      </c>
      <c r="BV2960" t="s">
        <v>86</v>
      </c>
      <c r="BY2960">
        <v>1200</v>
      </c>
      <c r="CA2960" t="s">
        <v>569</v>
      </c>
      <c r="CC2960" t="s">
        <v>207</v>
      </c>
      <c r="CD2960">
        <v>7945</v>
      </c>
      <c r="CE2960" t="s">
        <v>147</v>
      </c>
      <c r="CF2960" s="3">
        <v>45958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"080068723493"</f>
        <v>080068723493</v>
      </c>
      <c r="F2961" s="3">
        <v>45954</v>
      </c>
      <c r="G2961">
        <v>202607</v>
      </c>
      <c r="H2961" t="s">
        <v>79</v>
      </c>
      <c r="I2961" t="s">
        <v>80</v>
      </c>
      <c r="J2961" t="s">
        <v>91</v>
      </c>
      <c r="K2961" t="s">
        <v>78</v>
      </c>
      <c r="L2961" t="s">
        <v>206</v>
      </c>
      <c r="M2961" t="s">
        <v>207</v>
      </c>
      <c r="N2961" t="s">
        <v>1646</v>
      </c>
      <c r="O2961" t="s">
        <v>82</v>
      </c>
      <c r="P2961" t="str">
        <f>"4170065998                    "</f>
        <v xml:space="preserve">4170065998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22.36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1.8</v>
      </c>
      <c r="BK2961">
        <v>2</v>
      </c>
      <c r="BL2961">
        <v>70.959999999999994</v>
      </c>
      <c r="BM2961">
        <v>10.64</v>
      </c>
      <c r="BN2961">
        <v>81.599999999999994</v>
      </c>
      <c r="BO2961">
        <v>81.599999999999994</v>
      </c>
      <c r="BQ2961" t="s">
        <v>1647</v>
      </c>
      <c r="BR2961" t="s">
        <v>97</v>
      </c>
      <c r="BS2961" s="3">
        <v>45957</v>
      </c>
      <c r="BT2961" s="4">
        <v>0.625</v>
      </c>
      <c r="BU2961" t="s">
        <v>2042</v>
      </c>
      <c r="BV2961" t="s">
        <v>90</v>
      </c>
      <c r="BW2961" t="s">
        <v>347</v>
      </c>
      <c r="BX2961" t="s">
        <v>1649</v>
      </c>
      <c r="BY2961">
        <v>8816</v>
      </c>
      <c r="CA2961" t="s">
        <v>1650</v>
      </c>
      <c r="CC2961" t="s">
        <v>207</v>
      </c>
      <c r="CD2961">
        <v>7550</v>
      </c>
      <c r="CE2961" t="s">
        <v>191</v>
      </c>
      <c r="CF2961" s="3">
        <v>45958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"080068723517"</f>
        <v>080068723517</v>
      </c>
      <c r="F2962" s="3">
        <v>45954</v>
      </c>
      <c r="G2962">
        <v>202607</v>
      </c>
      <c r="H2962" t="s">
        <v>79</v>
      </c>
      <c r="I2962" t="s">
        <v>80</v>
      </c>
      <c r="J2962" t="s">
        <v>91</v>
      </c>
      <c r="K2962" t="s">
        <v>78</v>
      </c>
      <c r="L2962" t="s">
        <v>206</v>
      </c>
      <c r="M2962" t="s">
        <v>207</v>
      </c>
      <c r="N2962" t="s">
        <v>208</v>
      </c>
      <c r="O2962" t="s">
        <v>82</v>
      </c>
      <c r="P2962" t="str">
        <f>"4170065960                    "</f>
        <v xml:space="preserve">4170065960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22.36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70.959999999999994</v>
      </c>
      <c r="BM2962">
        <v>10.64</v>
      </c>
      <c r="BN2962">
        <v>81.599999999999994</v>
      </c>
      <c r="BO2962">
        <v>81.599999999999994</v>
      </c>
      <c r="BQ2962" t="s">
        <v>209</v>
      </c>
      <c r="BR2962" t="s">
        <v>97</v>
      </c>
      <c r="BS2962" s="3">
        <v>45957</v>
      </c>
      <c r="BT2962" s="4">
        <v>0.37708333333333333</v>
      </c>
      <c r="BU2962" t="s">
        <v>1732</v>
      </c>
      <c r="BV2962" t="s">
        <v>86</v>
      </c>
      <c r="BY2962">
        <v>1200</v>
      </c>
      <c r="CA2962" t="s">
        <v>211</v>
      </c>
      <c r="CC2962" t="s">
        <v>207</v>
      </c>
      <c r="CD2962">
        <v>7441</v>
      </c>
      <c r="CE2962" t="s">
        <v>147</v>
      </c>
      <c r="CF2962" s="3">
        <v>45958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"080068723522"</f>
        <v>080068723522</v>
      </c>
      <c r="F2963" s="3">
        <v>45954</v>
      </c>
      <c r="G2963">
        <v>202607</v>
      </c>
      <c r="H2963" t="s">
        <v>79</v>
      </c>
      <c r="I2963" t="s">
        <v>80</v>
      </c>
      <c r="J2963" t="s">
        <v>91</v>
      </c>
      <c r="K2963" t="s">
        <v>78</v>
      </c>
      <c r="L2963" t="s">
        <v>530</v>
      </c>
      <c r="M2963" t="s">
        <v>531</v>
      </c>
      <c r="N2963" t="s">
        <v>3323</v>
      </c>
      <c r="O2963" t="s">
        <v>82</v>
      </c>
      <c r="P2963" t="str">
        <f>"4170065914                    "</f>
        <v xml:space="preserve">4170065914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43.31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</v>
      </c>
      <c r="BJ2963">
        <v>1.1000000000000001</v>
      </c>
      <c r="BK2963">
        <v>2</v>
      </c>
      <c r="BL2963">
        <v>137.47</v>
      </c>
      <c r="BM2963">
        <v>20.62</v>
      </c>
      <c r="BN2963">
        <v>158.09</v>
      </c>
      <c r="BO2963">
        <v>158.09</v>
      </c>
      <c r="BQ2963" t="s">
        <v>3324</v>
      </c>
      <c r="BR2963" t="s">
        <v>97</v>
      </c>
      <c r="BS2963" s="3">
        <v>45957</v>
      </c>
      <c r="BT2963" s="4">
        <v>0.55972222222222223</v>
      </c>
      <c r="BU2963" t="s">
        <v>3325</v>
      </c>
      <c r="BV2963" t="s">
        <v>86</v>
      </c>
      <c r="BY2963">
        <v>5510</v>
      </c>
      <c r="CA2963" t="s">
        <v>535</v>
      </c>
      <c r="CC2963" t="s">
        <v>531</v>
      </c>
      <c r="CD2963">
        <v>6849</v>
      </c>
      <c r="CE2963" t="s">
        <v>191</v>
      </c>
      <c r="CF2963" s="3">
        <v>45958</v>
      </c>
      <c r="CI2963">
        <v>2</v>
      </c>
      <c r="CJ2963">
        <v>1</v>
      </c>
      <c r="CK2963">
        <v>23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"080068723526"</f>
        <v>080068723526</v>
      </c>
      <c r="F2964" s="3">
        <v>45954</v>
      </c>
      <c r="G2964">
        <v>202607</v>
      </c>
      <c r="H2964" t="s">
        <v>79</v>
      </c>
      <c r="I2964" t="s">
        <v>80</v>
      </c>
      <c r="J2964" t="s">
        <v>91</v>
      </c>
      <c r="K2964" t="s">
        <v>78</v>
      </c>
      <c r="L2964" t="s">
        <v>121</v>
      </c>
      <c r="M2964" t="s">
        <v>122</v>
      </c>
      <c r="N2964" t="s">
        <v>154</v>
      </c>
      <c r="O2964" t="s">
        <v>82</v>
      </c>
      <c r="P2964" t="str">
        <f>"4170065899                    "</f>
        <v xml:space="preserve">4170065899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22.36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70.959999999999994</v>
      </c>
      <c r="BM2964">
        <v>10.64</v>
      </c>
      <c r="BN2964">
        <v>81.599999999999994</v>
      </c>
      <c r="BO2964">
        <v>81.599999999999994</v>
      </c>
      <c r="BQ2964" t="s">
        <v>155</v>
      </c>
      <c r="BR2964" t="s">
        <v>97</v>
      </c>
      <c r="BS2964" s="3">
        <v>45957</v>
      </c>
      <c r="BT2964" s="4">
        <v>0.37291666666666667</v>
      </c>
      <c r="BU2964" t="s">
        <v>156</v>
      </c>
      <c r="BV2964" t="s">
        <v>86</v>
      </c>
      <c r="BY2964">
        <v>1200</v>
      </c>
      <c r="CA2964" t="s">
        <v>157</v>
      </c>
      <c r="CC2964" t="s">
        <v>122</v>
      </c>
      <c r="CD2964">
        <v>4052</v>
      </c>
      <c r="CE2964" t="s">
        <v>147</v>
      </c>
      <c r="CF2964" s="3">
        <v>45958</v>
      </c>
      <c r="CI2964">
        <v>1</v>
      </c>
      <c r="CJ2964">
        <v>1</v>
      </c>
      <c r="CK2964">
        <v>21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"080068723533"</f>
        <v>080068723533</v>
      </c>
      <c r="F2965" s="3">
        <v>45954</v>
      </c>
      <c r="G2965">
        <v>202607</v>
      </c>
      <c r="H2965" t="s">
        <v>79</v>
      </c>
      <c r="I2965" t="s">
        <v>80</v>
      </c>
      <c r="J2965" t="s">
        <v>91</v>
      </c>
      <c r="K2965" t="s">
        <v>78</v>
      </c>
      <c r="L2965" t="s">
        <v>223</v>
      </c>
      <c r="M2965" t="s">
        <v>224</v>
      </c>
      <c r="N2965" t="s">
        <v>505</v>
      </c>
      <c r="O2965" t="s">
        <v>82</v>
      </c>
      <c r="P2965" t="str">
        <f>"4170065965                    "</f>
        <v xml:space="preserve">4170065965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17.46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55.42</v>
      </c>
      <c r="BM2965">
        <v>8.31</v>
      </c>
      <c r="BN2965">
        <v>63.73</v>
      </c>
      <c r="BO2965">
        <v>63.73</v>
      </c>
      <c r="BQ2965" t="s">
        <v>506</v>
      </c>
      <c r="BR2965" t="s">
        <v>97</v>
      </c>
      <c r="BS2965" s="3">
        <v>45957</v>
      </c>
      <c r="BT2965" s="4">
        <v>0.31597222222222221</v>
      </c>
      <c r="BU2965" t="s">
        <v>3326</v>
      </c>
      <c r="BV2965" t="s">
        <v>86</v>
      </c>
      <c r="BY2965">
        <v>1200</v>
      </c>
      <c r="CA2965" t="s">
        <v>508</v>
      </c>
      <c r="CC2965" t="s">
        <v>224</v>
      </c>
      <c r="CD2965">
        <v>1459</v>
      </c>
      <c r="CE2965" t="s">
        <v>147</v>
      </c>
      <c r="CF2965" s="3">
        <v>45957</v>
      </c>
      <c r="CI2965">
        <v>1</v>
      </c>
      <c r="CJ2965">
        <v>1</v>
      </c>
      <c r="CK2965">
        <v>22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"080068723536"</f>
        <v>080068723536</v>
      </c>
      <c r="F2966" s="3">
        <v>45954</v>
      </c>
      <c r="G2966">
        <v>202607</v>
      </c>
      <c r="H2966" t="s">
        <v>79</v>
      </c>
      <c r="I2966" t="s">
        <v>80</v>
      </c>
      <c r="J2966" t="s">
        <v>91</v>
      </c>
      <c r="K2966" t="s">
        <v>78</v>
      </c>
      <c r="L2966" t="s">
        <v>206</v>
      </c>
      <c r="M2966" t="s">
        <v>207</v>
      </c>
      <c r="N2966" t="s">
        <v>335</v>
      </c>
      <c r="O2966" t="s">
        <v>82</v>
      </c>
      <c r="P2966" t="str">
        <f>"4170065958                    "</f>
        <v xml:space="preserve">4170065958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22.36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70.959999999999994</v>
      </c>
      <c r="BM2966">
        <v>10.64</v>
      </c>
      <c r="BN2966">
        <v>81.599999999999994</v>
      </c>
      <c r="BO2966">
        <v>81.599999999999994</v>
      </c>
      <c r="BQ2966" t="s">
        <v>475</v>
      </c>
      <c r="BR2966" t="s">
        <v>97</v>
      </c>
      <c r="BS2966" s="3">
        <v>45957</v>
      </c>
      <c r="BT2966" s="4">
        <v>0.37569444444444444</v>
      </c>
      <c r="BU2966" t="s">
        <v>3327</v>
      </c>
      <c r="BV2966" t="s">
        <v>86</v>
      </c>
      <c r="BY2966">
        <v>1200</v>
      </c>
      <c r="CA2966" t="s">
        <v>3328</v>
      </c>
      <c r="CC2966" t="s">
        <v>207</v>
      </c>
      <c r="CD2966">
        <v>7700</v>
      </c>
      <c r="CE2966" t="s">
        <v>147</v>
      </c>
      <c r="CF2966" s="3">
        <v>45958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"080068723539"</f>
        <v>080068723539</v>
      </c>
      <c r="F2967" s="3">
        <v>45954</v>
      </c>
      <c r="G2967">
        <v>202607</v>
      </c>
      <c r="H2967" t="s">
        <v>79</v>
      </c>
      <c r="I2967" t="s">
        <v>80</v>
      </c>
      <c r="J2967" t="s">
        <v>91</v>
      </c>
      <c r="K2967" t="s">
        <v>78</v>
      </c>
      <c r="L2967" t="s">
        <v>206</v>
      </c>
      <c r="M2967" t="s">
        <v>207</v>
      </c>
      <c r="N2967" t="s">
        <v>656</v>
      </c>
      <c r="O2967" t="s">
        <v>82</v>
      </c>
      <c r="P2967" t="str">
        <f>"4170065923                    "</f>
        <v xml:space="preserve">4170065923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22.36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70.959999999999994</v>
      </c>
      <c r="BM2967">
        <v>10.64</v>
      </c>
      <c r="BN2967">
        <v>81.599999999999994</v>
      </c>
      <c r="BO2967">
        <v>81.599999999999994</v>
      </c>
      <c r="BQ2967" t="s">
        <v>657</v>
      </c>
      <c r="BR2967" t="s">
        <v>97</v>
      </c>
      <c r="BS2967" s="3">
        <v>45957</v>
      </c>
      <c r="BT2967" s="4">
        <v>0.38472222222222224</v>
      </c>
      <c r="BU2967" t="s">
        <v>658</v>
      </c>
      <c r="BV2967" t="s">
        <v>86</v>
      </c>
      <c r="BY2967">
        <v>1200</v>
      </c>
      <c r="CA2967" t="s">
        <v>211</v>
      </c>
      <c r="CC2967" t="s">
        <v>207</v>
      </c>
      <c r="CD2967">
        <v>7441</v>
      </c>
      <c r="CE2967" t="s">
        <v>147</v>
      </c>
      <c r="CF2967" s="3">
        <v>45958</v>
      </c>
      <c r="CI2967">
        <v>1</v>
      </c>
      <c r="CJ2967">
        <v>1</v>
      </c>
      <c r="CK2967">
        <v>21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"080068723633"</f>
        <v>080068723633</v>
      </c>
      <c r="F2968" s="3">
        <v>45954</v>
      </c>
      <c r="G2968">
        <v>202607</v>
      </c>
      <c r="H2968" t="s">
        <v>79</v>
      </c>
      <c r="I2968" t="s">
        <v>80</v>
      </c>
      <c r="J2968" t="s">
        <v>91</v>
      </c>
      <c r="K2968" t="s">
        <v>78</v>
      </c>
      <c r="L2968" t="s">
        <v>668</v>
      </c>
      <c r="M2968" t="s">
        <v>669</v>
      </c>
      <c r="N2968" t="s">
        <v>2305</v>
      </c>
      <c r="O2968" t="s">
        <v>226</v>
      </c>
      <c r="P2968" t="str">
        <f>"4170065994                    "</f>
        <v xml:space="preserve">4170065994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17.47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4.8</v>
      </c>
      <c r="BJ2968">
        <v>1.7</v>
      </c>
      <c r="BK2968">
        <v>5</v>
      </c>
      <c r="BL2968">
        <v>55.44</v>
      </c>
      <c r="BM2968">
        <v>8.32</v>
      </c>
      <c r="BN2968">
        <v>63.76</v>
      </c>
      <c r="BO2968">
        <v>63.76</v>
      </c>
      <c r="BQ2968" t="s">
        <v>2306</v>
      </c>
      <c r="BR2968" t="s">
        <v>97</v>
      </c>
      <c r="BS2968" s="3">
        <v>45957</v>
      </c>
      <c r="BT2968" s="4">
        <v>0.60486111111111107</v>
      </c>
      <c r="BU2968" t="s">
        <v>3329</v>
      </c>
      <c r="BV2968" t="s">
        <v>86</v>
      </c>
      <c r="BY2968">
        <v>8263.68</v>
      </c>
      <c r="CA2968" t="s">
        <v>1595</v>
      </c>
      <c r="CC2968" t="s">
        <v>669</v>
      </c>
      <c r="CD2968">
        <v>1500</v>
      </c>
      <c r="CE2968" t="s">
        <v>191</v>
      </c>
      <c r="CF2968" s="3">
        <v>45958</v>
      </c>
      <c r="CI2968">
        <v>1</v>
      </c>
      <c r="CJ2968">
        <v>1</v>
      </c>
      <c r="CK2968">
        <v>32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"080068723649"</f>
        <v>080068723649</v>
      </c>
      <c r="F2969" s="3">
        <v>45954</v>
      </c>
      <c r="G2969">
        <v>202607</v>
      </c>
      <c r="H2969" t="s">
        <v>79</v>
      </c>
      <c r="I2969" t="s">
        <v>80</v>
      </c>
      <c r="J2969" t="s">
        <v>91</v>
      </c>
      <c r="K2969" t="s">
        <v>78</v>
      </c>
      <c r="L2969" t="s">
        <v>148</v>
      </c>
      <c r="M2969" t="s">
        <v>149</v>
      </c>
      <c r="N2969" t="s">
        <v>2993</v>
      </c>
      <c r="O2969" t="s">
        <v>82</v>
      </c>
      <c r="P2969" t="str">
        <f>"4170066048                    "</f>
        <v xml:space="preserve">4170066048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17.46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1.9</v>
      </c>
      <c r="BJ2969">
        <v>0.8</v>
      </c>
      <c r="BK2969">
        <v>2</v>
      </c>
      <c r="BL2969">
        <v>55.42</v>
      </c>
      <c r="BM2969">
        <v>8.31</v>
      </c>
      <c r="BN2969">
        <v>63.73</v>
      </c>
      <c r="BO2969">
        <v>63.73</v>
      </c>
      <c r="BQ2969" t="s">
        <v>2994</v>
      </c>
      <c r="BR2969" t="s">
        <v>97</v>
      </c>
      <c r="BS2969" s="3">
        <v>45957</v>
      </c>
      <c r="BT2969" s="4">
        <v>0.35416666666666669</v>
      </c>
      <c r="BU2969" t="s">
        <v>2587</v>
      </c>
      <c r="BV2969" t="s">
        <v>86</v>
      </c>
      <c r="BY2969">
        <v>4060.2</v>
      </c>
      <c r="CA2969" t="s">
        <v>1463</v>
      </c>
      <c r="CC2969" t="s">
        <v>149</v>
      </c>
      <c r="CD2969">
        <v>2013</v>
      </c>
      <c r="CE2969" t="s">
        <v>191</v>
      </c>
      <c r="CF2969" s="3">
        <v>45957</v>
      </c>
      <c r="CI2969">
        <v>1</v>
      </c>
      <c r="CJ2969">
        <v>1</v>
      </c>
      <c r="CK2969">
        <v>22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"080068723667"</f>
        <v>080068723667</v>
      </c>
      <c r="F2970" s="3">
        <v>45954</v>
      </c>
      <c r="G2970">
        <v>202607</v>
      </c>
      <c r="H2970" t="s">
        <v>79</v>
      </c>
      <c r="I2970" t="s">
        <v>80</v>
      </c>
      <c r="J2970" t="s">
        <v>91</v>
      </c>
      <c r="K2970" t="s">
        <v>78</v>
      </c>
      <c r="L2970" t="s">
        <v>446</v>
      </c>
      <c r="M2970" t="s">
        <v>447</v>
      </c>
      <c r="N2970" t="s">
        <v>448</v>
      </c>
      <c r="O2970" t="s">
        <v>82</v>
      </c>
      <c r="P2970" t="str">
        <f>"4170065911                    "</f>
        <v xml:space="preserve">4170065911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92.21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2</v>
      </c>
      <c r="BJ2970">
        <v>4.5</v>
      </c>
      <c r="BK2970">
        <v>4.5</v>
      </c>
      <c r="BL2970">
        <v>292.67</v>
      </c>
      <c r="BM2970">
        <v>43.9</v>
      </c>
      <c r="BN2970">
        <v>336.57</v>
      </c>
      <c r="BO2970">
        <v>336.57</v>
      </c>
      <c r="BQ2970" t="s">
        <v>449</v>
      </c>
      <c r="BR2970" t="s">
        <v>97</v>
      </c>
      <c r="BS2970" s="3">
        <v>45957</v>
      </c>
      <c r="BT2970" s="4">
        <v>0.49791666666666667</v>
      </c>
      <c r="BU2970" t="s">
        <v>450</v>
      </c>
      <c r="BV2970" t="s">
        <v>86</v>
      </c>
      <c r="BY2970">
        <v>22620</v>
      </c>
      <c r="CA2970" t="s">
        <v>1124</v>
      </c>
      <c r="CC2970" t="s">
        <v>447</v>
      </c>
      <c r="CD2970">
        <v>7130</v>
      </c>
      <c r="CE2970" t="s">
        <v>191</v>
      </c>
      <c r="CF2970" s="3">
        <v>45958</v>
      </c>
      <c r="CI2970">
        <v>1</v>
      </c>
      <c r="CJ2970">
        <v>1</v>
      </c>
      <c r="CK2970">
        <v>23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"080068723693"</f>
        <v>080068723693</v>
      </c>
      <c r="F2971" s="3">
        <v>45954</v>
      </c>
      <c r="G2971">
        <v>202607</v>
      </c>
      <c r="H2971" t="s">
        <v>79</v>
      </c>
      <c r="I2971" t="s">
        <v>80</v>
      </c>
      <c r="J2971" t="s">
        <v>91</v>
      </c>
      <c r="K2971" t="s">
        <v>78</v>
      </c>
      <c r="L2971" t="s">
        <v>259</v>
      </c>
      <c r="M2971" t="s">
        <v>260</v>
      </c>
      <c r="N2971" t="s">
        <v>261</v>
      </c>
      <c r="O2971" t="s">
        <v>95</v>
      </c>
      <c r="P2971" t="str">
        <f>"4170065992                    "</f>
        <v xml:space="preserve">4170065992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107.69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2</v>
      </c>
      <c r="BI2971">
        <v>29.8</v>
      </c>
      <c r="BJ2971">
        <v>17.399999999999999</v>
      </c>
      <c r="BK2971">
        <v>30</v>
      </c>
      <c r="BL2971">
        <v>347.66</v>
      </c>
      <c r="BM2971">
        <v>52.15</v>
      </c>
      <c r="BN2971">
        <v>399.81</v>
      </c>
      <c r="BO2971">
        <v>399.81</v>
      </c>
      <c r="BQ2971" t="s">
        <v>262</v>
      </c>
      <c r="BR2971" t="s">
        <v>97</v>
      </c>
      <c r="BS2971" s="3">
        <v>45957</v>
      </c>
      <c r="BT2971" s="4">
        <v>0.59375</v>
      </c>
      <c r="BU2971" t="s">
        <v>3330</v>
      </c>
      <c r="BV2971" t="s">
        <v>86</v>
      </c>
      <c r="BY2971">
        <v>86798.14</v>
      </c>
      <c r="CA2971" t="s">
        <v>3331</v>
      </c>
      <c r="CC2971" t="s">
        <v>260</v>
      </c>
      <c r="CD2971">
        <v>2380</v>
      </c>
      <c r="CE2971" t="s">
        <v>191</v>
      </c>
      <c r="CF2971" s="3">
        <v>45958</v>
      </c>
      <c r="CI2971">
        <v>1</v>
      </c>
      <c r="CJ2971">
        <v>1</v>
      </c>
      <c r="CK2971">
        <v>43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"080068723796"</f>
        <v>080068723796</v>
      </c>
      <c r="F2972" s="3">
        <v>45954</v>
      </c>
      <c r="G2972">
        <v>202607</v>
      </c>
      <c r="H2972" t="s">
        <v>79</v>
      </c>
      <c r="I2972" t="s">
        <v>80</v>
      </c>
      <c r="J2972" t="s">
        <v>91</v>
      </c>
      <c r="K2972" t="s">
        <v>78</v>
      </c>
      <c r="L2972" t="s">
        <v>406</v>
      </c>
      <c r="M2972" t="s">
        <v>407</v>
      </c>
      <c r="N2972" t="s">
        <v>797</v>
      </c>
      <c r="O2972" t="s">
        <v>226</v>
      </c>
      <c r="P2972" t="str">
        <f>"4170065662                    "</f>
        <v xml:space="preserve">4170065662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78.61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2.7</v>
      </c>
      <c r="BJ2972">
        <v>4.3</v>
      </c>
      <c r="BK2972">
        <v>4.5</v>
      </c>
      <c r="BL2972">
        <v>249.51</v>
      </c>
      <c r="BM2972">
        <v>37.43</v>
      </c>
      <c r="BN2972">
        <v>286.94</v>
      </c>
      <c r="BO2972">
        <v>286.94</v>
      </c>
      <c r="BQ2972" t="s">
        <v>798</v>
      </c>
      <c r="BR2972" t="s">
        <v>97</v>
      </c>
      <c r="BS2972" s="3">
        <v>45957</v>
      </c>
      <c r="BT2972" s="4">
        <v>0.44791666666666669</v>
      </c>
      <c r="BU2972" t="s">
        <v>3332</v>
      </c>
      <c r="BV2972" t="s">
        <v>86</v>
      </c>
      <c r="BY2972">
        <v>21403.200000000001</v>
      </c>
      <c r="CA2972" t="s">
        <v>3333</v>
      </c>
      <c r="CC2972" t="s">
        <v>407</v>
      </c>
      <c r="CD2972">
        <v>1438</v>
      </c>
      <c r="CE2972" t="s">
        <v>191</v>
      </c>
      <c r="CF2972" s="3">
        <v>45958</v>
      </c>
      <c r="CI2972">
        <v>1</v>
      </c>
      <c r="CJ2972">
        <v>1</v>
      </c>
      <c r="CK2972">
        <v>34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"080068723866"</f>
        <v>080068723866</v>
      </c>
      <c r="F2973" s="3">
        <v>45954</v>
      </c>
      <c r="G2973">
        <v>202607</v>
      </c>
      <c r="H2973" t="s">
        <v>79</v>
      </c>
      <c r="I2973" t="s">
        <v>80</v>
      </c>
      <c r="J2973" t="s">
        <v>91</v>
      </c>
      <c r="K2973" t="s">
        <v>78</v>
      </c>
      <c r="L2973" t="s">
        <v>148</v>
      </c>
      <c r="M2973" t="s">
        <v>149</v>
      </c>
      <c r="N2973" t="s">
        <v>993</v>
      </c>
      <c r="O2973" t="s">
        <v>226</v>
      </c>
      <c r="P2973" t="str">
        <f>"4170066022                    "</f>
        <v xml:space="preserve">4170066022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17.47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3</v>
      </c>
      <c r="BJ2973">
        <v>1.8</v>
      </c>
      <c r="BK2973">
        <v>3</v>
      </c>
      <c r="BL2973">
        <v>55.44</v>
      </c>
      <c r="BM2973">
        <v>8.32</v>
      </c>
      <c r="BN2973">
        <v>63.76</v>
      </c>
      <c r="BO2973">
        <v>63.76</v>
      </c>
      <c r="BQ2973" t="s">
        <v>994</v>
      </c>
      <c r="BR2973" t="s">
        <v>97</v>
      </c>
      <c r="BS2973" s="3">
        <v>45957</v>
      </c>
      <c r="BT2973" s="4">
        <v>0.39583333333333331</v>
      </c>
      <c r="BU2973" t="s">
        <v>3334</v>
      </c>
      <c r="BV2973" t="s">
        <v>86</v>
      </c>
      <c r="BY2973">
        <v>9120</v>
      </c>
      <c r="CA2973" t="s">
        <v>1463</v>
      </c>
      <c r="CC2973" t="s">
        <v>149</v>
      </c>
      <c r="CD2973">
        <v>2001</v>
      </c>
      <c r="CE2973" t="s">
        <v>107</v>
      </c>
      <c r="CF2973" s="3">
        <v>45957</v>
      </c>
      <c r="CI2973">
        <v>1</v>
      </c>
      <c r="CJ2973">
        <v>1</v>
      </c>
      <c r="CK2973">
        <v>32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"080068724272"</f>
        <v>080068724272</v>
      </c>
      <c r="F2974" s="3">
        <v>45954</v>
      </c>
      <c r="G2974">
        <v>202607</v>
      </c>
      <c r="H2974" t="s">
        <v>79</v>
      </c>
      <c r="I2974" t="s">
        <v>80</v>
      </c>
      <c r="J2974" t="s">
        <v>91</v>
      </c>
      <c r="K2974" t="s">
        <v>78</v>
      </c>
      <c r="L2974" t="s">
        <v>121</v>
      </c>
      <c r="M2974" t="s">
        <v>122</v>
      </c>
      <c r="N2974" t="s">
        <v>123</v>
      </c>
      <c r="O2974" t="s">
        <v>95</v>
      </c>
      <c r="P2974" t="str">
        <f>"4170066061                    "</f>
        <v xml:space="preserve">4170066061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71.790000000000006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11.4</v>
      </c>
      <c r="BJ2974">
        <v>30.1</v>
      </c>
      <c r="BK2974">
        <v>31</v>
      </c>
      <c r="BL2974">
        <v>233.72</v>
      </c>
      <c r="BM2974">
        <v>35.06</v>
      </c>
      <c r="BN2974">
        <v>268.77999999999997</v>
      </c>
      <c r="BO2974">
        <v>268.77999999999997</v>
      </c>
      <c r="BQ2974" t="s">
        <v>124</v>
      </c>
      <c r="BR2974" t="s">
        <v>97</v>
      </c>
      <c r="BS2974" s="3">
        <v>45957</v>
      </c>
      <c r="BT2974" s="4">
        <v>0.34375</v>
      </c>
      <c r="BU2974" t="s">
        <v>3335</v>
      </c>
      <c r="BV2974" t="s">
        <v>86</v>
      </c>
      <c r="BY2974">
        <v>150421.1</v>
      </c>
      <c r="CA2974" t="s">
        <v>126</v>
      </c>
      <c r="CC2974" t="s">
        <v>122</v>
      </c>
      <c r="CD2974">
        <v>4051</v>
      </c>
      <c r="CE2974" t="s">
        <v>191</v>
      </c>
      <c r="CF2974" s="3">
        <v>45958</v>
      </c>
      <c r="CI2974">
        <v>1</v>
      </c>
      <c r="CJ2974">
        <v>1</v>
      </c>
      <c r="CK2974">
        <v>41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"080068724764"</f>
        <v>080068724764</v>
      </c>
      <c r="F2975" s="3">
        <v>45954</v>
      </c>
      <c r="G2975">
        <v>202607</v>
      </c>
      <c r="H2975" t="s">
        <v>79</v>
      </c>
      <c r="I2975" t="s">
        <v>80</v>
      </c>
      <c r="J2975" t="s">
        <v>91</v>
      </c>
      <c r="K2975" t="s">
        <v>78</v>
      </c>
      <c r="L2975" t="s">
        <v>206</v>
      </c>
      <c r="M2975" t="s">
        <v>207</v>
      </c>
      <c r="N2975" t="s">
        <v>656</v>
      </c>
      <c r="O2975" t="s">
        <v>82</v>
      </c>
      <c r="P2975" t="str">
        <f>"4170065969                    "</f>
        <v xml:space="preserve">4170065969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22.36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0.9</v>
      </c>
      <c r="BK2975">
        <v>1</v>
      </c>
      <c r="BL2975">
        <v>70.959999999999994</v>
      </c>
      <c r="BM2975">
        <v>10.64</v>
      </c>
      <c r="BN2975">
        <v>81.599999999999994</v>
      </c>
      <c r="BO2975">
        <v>81.599999999999994</v>
      </c>
      <c r="BQ2975" t="s">
        <v>657</v>
      </c>
      <c r="BR2975" t="s">
        <v>97</v>
      </c>
      <c r="BS2975" s="3">
        <v>45957</v>
      </c>
      <c r="BT2975" s="4">
        <v>0.38472222222222224</v>
      </c>
      <c r="BU2975" t="s">
        <v>658</v>
      </c>
      <c r="BV2975" t="s">
        <v>86</v>
      </c>
      <c r="BY2975">
        <v>4560</v>
      </c>
      <c r="CA2975" t="s">
        <v>211</v>
      </c>
      <c r="CC2975" t="s">
        <v>207</v>
      </c>
      <c r="CD2975">
        <v>7441</v>
      </c>
      <c r="CE2975" t="s">
        <v>191</v>
      </c>
      <c r="CF2975" s="3">
        <v>45958</v>
      </c>
      <c r="CI2975">
        <v>1</v>
      </c>
      <c r="CJ2975">
        <v>1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"080068724780"</f>
        <v>080068724780</v>
      </c>
      <c r="F2976" s="3">
        <v>45954</v>
      </c>
      <c r="G2976">
        <v>202607</v>
      </c>
      <c r="H2976" t="s">
        <v>79</v>
      </c>
      <c r="I2976" t="s">
        <v>80</v>
      </c>
      <c r="J2976" t="s">
        <v>91</v>
      </c>
      <c r="K2976" t="s">
        <v>78</v>
      </c>
      <c r="L2976" t="s">
        <v>218</v>
      </c>
      <c r="M2976" t="s">
        <v>219</v>
      </c>
      <c r="N2976" t="s">
        <v>443</v>
      </c>
      <c r="O2976" t="s">
        <v>82</v>
      </c>
      <c r="P2976" t="str">
        <f>"4170064915                    "</f>
        <v xml:space="preserve">4170064915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17.46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55.42</v>
      </c>
      <c r="BM2976">
        <v>8.31</v>
      </c>
      <c r="BN2976">
        <v>63.73</v>
      </c>
      <c r="BO2976">
        <v>63.73</v>
      </c>
      <c r="BQ2976" t="s">
        <v>444</v>
      </c>
      <c r="BR2976" t="s">
        <v>97</v>
      </c>
      <c r="BS2976" s="3">
        <v>45957</v>
      </c>
      <c r="BT2976" s="4">
        <v>0.4548611111111111</v>
      </c>
      <c r="BU2976" t="s">
        <v>3336</v>
      </c>
      <c r="BV2976" t="s">
        <v>90</v>
      </c>
      <c r="BW2976" t="s">
        <v>771</v>
      </c>
      <c r="BX2976" t="s">
        <v>903</v>
      </c>
      <c r="BY2976">
        <v>1200</v>
      </c>
      <c r="CA2976" t="s">
        <v>1434</v>
      </c>
      <c r="CC2976" t="s">
        <v>219</v>
      </c>
      <c r="CD2976">
        <v>1559</v>
      </c>
      <c r="CE2976" t="s">
        <v>147</v>
      </c>
      <c r="CF2976" s="3">
        <v>45958</v>
      </c>
      <c r="CI2976">
        <v>1</v>
      </c>
      <c r="CJ2976">
        <v>1</v>
      </c>
      <c r="CK2976">
        <v>22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"080068724789"</f>
        <v>080068724789</v>
      </c>
      <c r="F2977" s="3">
        <v>45954</v>
      </c>
      <c r="G2977">
        <v>202607</v>
      </c>
      <c r="H2977" t="s">
        <v>79</v>
      </c>
      <c r="I2977" t="s">
        <v>80</v>
      </c>
      <c r="J2977" t="s">
        <v>91</v>
      </c>
      <c r="K2977" t="s">
        <v>78</v>
      </c>
      <c r="L2977" t="s">
        <v>223</v>
      </c>
      <c r="M2977" t="s">
        <v>224</v>
      </c>
      <c r="N2977" t="s">
        <v>1464</v>
      </c>
      <c r="O2977" t="s">
        <v>82</v>
      </c>
      <c r="P2977" t="str">
        <f>"4170066034                    "</f>
        <v xml:space="preserve">4170066034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17.46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55.42</v>
      </c>
      <c r="BM2977">
        <v>8.31</v>
      </c>
      <c r="BN2977">
        <v>63.73</v>
      </c>
      <c r="BO2977">
        <v>63.73</v>
      </c>
      <c r="BQ2977" t="s">
        <v>1465</v>
      </c>
      <c r="BR2977" t="s">
        <v>97</v>
      </c>
      <c r="BS2977" s="3">
        <v>45957</v>
      </c>
      <c r="BT2977" s="4">
        <v>0.41249999999999998</v>
      </c>
      <c r="BU2977" t="s">
        <v>2518</v>
      </c>
      <c r="BV2977" t="s">
        <v>86</v>
      </c>
      <c r="BY2977">
        <v>1200</v>
      </c>
      <c r="CA2977" t="s">
        <v>1110</v>
      </c>
      <c r="CC2977" t="s">
        <v>224</v>
      </c>
      <c r="CD2977">
        <v>1459</v>
      </c>
      <c r="CE2977" t="s">
        <v>147</v>
      </c>
      <c r="CF2977" s="3">
        <v>45957</v>
      </c>
      <c r="CI2977">
        <v>1</v>
      </c>
      <c r="CJ2977">
        <v>1</v>
      </c>
      <c r="CK2977">
        <v>22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"080068724891"</f>
        <v>080068724891</v>
      </c>
      <c r="F2978" s="3">
        <v>45954</v>
      </c>
      <c r="G2978">
        <v>202607</v>
      </c>
      <c r="H2978" t="s">
        <v>79</v>
      </c>
      <c r="I2978" t="s">
        <v>80</v>
      </c>
      <c r="J2978" t="s">
        <v>91</v>
      </c>
      <c r="K2978" t="s">
        <v>78</v>
      </c>
      <c r="L2978" t="s">
        <v>206</v>
      </c>
      <c r="M2978" t="s">
        <v>207</v>
      </c>
      <c r="N2978" t="s">
        <v>656</v>
      </c>
      <c r="O2978" t="s">
        <v>95</v>
      </c>
      <c r="P2978" t="str">
        <f>"4170065976                    "</f>
        <v xml:space="preserve">4170065976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86.07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2</v>
      </c>
      <c r="BI2978">
        <v>39</v>
      </c>
      <c r="BJ2978">
        <v>17.899999999999999</v>
      </c>
      <c r="BK2978">
        <v>39</v>
      </c>
      <c r="BL2978">
        <v>279.04000000000002</v>
      </c>
      <c r="BM2978">
        <v>41.86</v>
      </c>
      <c r="BN2978">
        <v>320.89999999999998</v>
      </c>
      <c r="BO2978">
        <v>320.89999999999998</v>
      </c>
      <c r="BQ2978" t="s">
        <v>657</v>
      </c>
      <c r="BR2978" t="s">
        <v>97</v>
      </c>
      <c r="BS2978" s="3">
        <v>45958</v>
      </c>
      <c r="BT2978" s="4">
        <v>0.41180555555555554</v>
      </c>
      <c r="BU2978" t="s">
        <v>658</v>
      </c>
      <c r="BV2978" t="s">
        <v>86</v>
      </c>
      <c r="BY2978">
        <v>89290.78</v>
      </c>
      <c r="CA2978" t="s">
        <v>211</v>
      </c>
      <c r="CC2978" t="s">
        <v>207</v>
      </c>
      <c r="CD2978">
        <v>7441</v>
      </c>
      <c r="CE2978" t="s">
        <v>2005</v>
      </c>
      <c r="CF2978" s="3">
        <v>45959</v>
      </c>
      <c r="CI2978">
        <v>3</v>
      </c>
      <c r="CJ2978">
        <v>2</v>
      </c>
      <c r="CK2978">
        <v>41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"080068724904"</f>
        <v>080068724904</v>
      </c>
      <c r="F2979" s="3">
        <v>45954</v>
      </c>
      <c r="G2979">
        <v>202607</v>
      </c>
      <c r="H2979" t="s">
        <v>79</v>
      </c>
      <c r="I2979" t="s">
        <v>80</v>
      </c>
      <c r="J2979" t="s">
        <v>91</v>
      </c>
      <c r="K2979" t="s">
        <v>78</v>
      </c>
      <c r="L2979" t="s">
        <v>79</v>
      </c>
      <c r="M2979" t="s">
        <v>80</v>
      </c>
      <c r="N2979" t="s">
        <v>830</v>
      </c>
      <c r="O2979" t="s">
        <v>82</v>
      </c>
      <c r="P2979" t="str">
        <f>"4170065846                    "</f>
        <v xml:space="preserve">4170065846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17.46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2.2000000000000002</v>
      </c>
      <c r="BJ2979">
        <v>0.9</v>
      </c>
      <c r="BK2979">
        <v>3</v>
      </c>
      <c r="BL2979">
        <v>55.42</v>
      </c>
      <c r="BM2979">
        <v>8.31</v>
      </c>
      <c r="BN2979">
        <v>63.73</v>
      </c>
      <c r="BO2979">
        <v>63.73</v>
      </c>
      <c r="BQ2979" t="s">
        <v>831</v>
      </c>
      <c r="BR2979" t="s">
        <v>97</v>
      </c>
      <c r="BS2979" s="3">
        <v>45957</v>
      </c>
      <c r="BT2979" s="4">
        <v>0.42916666666666664</v>
      </c>
      <c r="BU2979" t="s">
        <v>832</v>
      </c>
      <c r="BV2979" t="s">
        <v>86</v>
      </c>
      <c r="BY2979">
        <v>4426.24</v>
      </c>
      <c r="CA2979" t="s">
        <v>88</v>
      </c>
      <c r="CC2979" t="s">
        <v>80</v>
      </c>
      <c r="CD2979">
        <v>1619</v>
      </c>
      <c r="CE2979" t="s">
        <v>191</v>
      </c>
      <c r="CF2979" s="3">
        <v>45958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"080068724935"</f>
        <v>080068724935</v>
      </c>
      <c r="F2980" s="3">
        <v>45954</v>
      </c>
      <c r="G2980">
        <v>202607</v>
      </c>
      <c r="H2980" t="s">
        <v>79</v>
      </c>
      <c r="I2980" t="s">
        <v>80</v>
      </c>
      <c r="J2980" t="s">
        <v>91</v>
      </c>
      <c r="K2980" t="s">
        <v>78</v>
      </c>
      <c r="L2980" t="s">
        <v>453</v>
      </c>
      <c r="M2980" t="s">
        <v>454</v>
      </c>
      <c r="N2980" t="s">
        <v>1816</v>
      </c>
      <c r="O2980" t="s">
        <v>82</v>
      </c>
      <c r="P2980" t="str">
        <f>"4170066043                    "</f>
        <v xml:space="preserve">4170066043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22.36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70.959999999999994</v>
      </c>
      <c r="BM2980">
        <v>10.64</v>
      </c>
      <c r="BN2980">
        <v>81.599999999999994</v>
      </c>
      <c r="BO2980">
        <v>81.599999999999994</v>
      </c>
      <c r="BQ2980" t="s">
        <v>1817</v>
      </c>
      <c r="BR2980" t="s">
        <v>97</v>
      </c>
      <c r="BS2980" s="3">
        <v>45957</v>
      </c>
      <c r="BT2980" s="4">
        <v>0.52083333333333337</v>
      </c>
      <c r="BU2980" t="s">
        <v>2793</v>
      </c>
      <c r="BV2980" t="s">
        <v>90</v>
      </c>
      <c r="BW2980" t="s">
        <v>771</v>
      </c>
      <c r="BX2980" t="s">
        <v>2909</v>
      </c>
      <c r="BY2980">
        <v>1200</v>
      </c>
      <c r="CA2980" t="s">
        <v>742</v>
      </c>
      <c r="CC2980" t="s">
        <v>454</v>
      </c>
      <c r="CD2980">
        <v>3620</v>
      </c>
      <c r="CE2980" t="s">
        <v>147</v>
      </c>
      <c r="CF2980" s="3">
        <v>45958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"080068725294"</f>
        <v>080068725294</v>
      </c>
      <c r="F2981" s="3">
        <v>45954</v>
      </c>
      <c r="G2981">
        <v>202607</v>
      </c>
      <c r="H2981" t="s">
        <v>79</v>
      </c>
      <c r="I2981" t="s">
        <v>80</v>
      </c>
      <c r="J2981" t="s">
        <v>91</v>
      </c>
      <c r="K2981" t="s">
        <v>78</v>
      </c>
      <c r="L2981" t="s">
        <v>168</v>
      </c>
      <c r="M2981" t="s">
        <v>169</v>
      </c>
      <c r="N2981" t="s">
        <v>584</v>
      </c>
      <c r="O2981" t="s">
        <v>95</v>
      </c>
      <c r="P2981" t="str">
        <f>"4170065957                    "</f>
        <v xml:space="preserve">4170065957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43.23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5</v>
      </c>
      <c r="BJ2981">
        <v>5.9</v>
      </c>
      <c r="BK2981">
        <v>6</v>
      </c>
      <c r="BL2981">
        <v>143.08000000000001</v>
      </c>
      <c r="BM2981">
        <v>21.46</v>
      </c>
      <c r="BN2981">
        <v>164.54</v>
      </c>
      <c r="BO2981">
        <v>164.54</v>
      </c>
      <c r="BQ2981" t="s">
        <v>585</v>
      </c>
      <c r="BR2981" t="s">
        <v>97</v>
      </c>
      <c r="BS2981" s="3">
        <v>45957</v>
      </c>
      <c r="BT2981" s="4">
        <v>0.40208333333333335</v>
      </c>
      <c r="BU2981" t="s">
        <v>148</v>
      </c>
      <c r="BV2981" t="s">
        <v>86</v>
      </c>
      <c r="BY2981">
        <v>29376</v>
      </c>
      <c r="CA2981">
        <v>8303236124087</v>
      </c>
      <c r="CC2981" t="s">
        <v>169</v>
      </c>
      <c r="CD2981" s="5" t="s">
        <v>190</v>
      </c>
      <c r="CE2981" t="s">
        <v>107</v>
      </c>
      <c r="CF2981" s="3">
        <v>45957</v>
      </c>
      <c r="CI2981">
        <v>1</v>
      </c>
      <c r="CJ2981">
        <v>1</v>
      </c>
      <c r="CK2981">
        <v>41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"080068725300"</f>
        <v>080068725300</v>
      </c>
      <c r="F2982" s="3">
        <v>45954</v>
      </c>
      <c r="G2982">
        <v>202607</v>
      </c>
      <c r="H2982" t="s">
        <v>79</v>
      </c>
      <c r="I2982" t="s">
        <v>80</v>
      </c>
      <c r="J2982" t="s">
        <v>91</v>
      </c>
      <c r="K2982" t="s">
        <v>78</v>
      </c>
      <c r="L2982" t="s">
        <v>108</v>
      </c>
      <c r="M2982" t="s">
        <v>109</v>
      </c>
      <c r="N2982" t="s">
        <v>365</v>
      </c>
      <c r="O2982" t="s">
        <v>82</v>
      </c>
      <c r="P2982" t="str">
        <f>"4170065964                    "</f>
        <v xml:space="preserve">4170065964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22.36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70.959999999999994</v>
      </c>
      <c r="BM2982">
        <v>10.64</v>
      </c>
      <c r="BN2982">
        <v>81.599999999999994</v>
      </c>
      <c r="BO2982">
        <v>81.599999999999994</v>
      </c>
      <c r="BQ2982" t="s">
        <v>366</v>
      </c>
      <c r="BR2982" t="s">
        <v>97</v>
      </c>
      <c r="BS2982" s="3">
        <v>45957</v>
      </c>
      <c r="BT2982" s="4">
        <v>0.40902777777777777</v>
      </c>
      <c r="BU2982" t="s">
        <v>3337</v>
      </c>
      <c r="BV2982" t="s">
        <v>86</v>
      </c>
      <c r="BY2982">
        <v>1200</v>
      </c>
      <c r="CA2982" t="s">
        <v>1145</v>
      </c>
      <c r="CC2982" t="s">
        <v>109</v>
      </c>
      <c r="CD2982">
        <v>6056</v>
      </c>
      <c r="CE2982" t="s">
        <v>147</v>
      </c>
      <c r="CF2982" s="3">
        <v>45957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"080068725317"</f>
        <v>080068725317</v>
      </c>
      <c r="F2983" s="3">
        <v>45954</v>
      </c>
      <c r="G2983">
        <v>202607</v>
      </c>
      <c r="H2983" t="s">
        <v>79</v>
      </c>
      <c r="I2983" t="s">
        <v>80</v>
      </c>
      <c r="J2983" t="s">
        <v>91</v>
      </c>
      <c r="K2983" t="s">
        <v>78</v>
      </c>
      <c r="L2983" t="s">
        <v>148</v>
      </c>
      <c r="M2983" t="s">
        <v>149</v>
      </c>
      <c r="N2983" t="s">
        <v>2050</v>
      </c>
      <c r="O2983" t="s">
        <v>82</v>
      </c>
      <c r="P2983" t="str">
        <f>"4170066036                    "</f>
        <v xml:space="preserve">4170066036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17.46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55.42</v>
      </c>
      <c r="BM2983">
        <v>8.31</v>
      </c>
      <c r="BN2983">
        <v>63.73</v>
      </c>
      <c r="BO2983">
        <v>63.73</v>
      </c>
      <c r="BQ2983" t="s">
        <v>2051</v>
      </c>
      <c r="BR2983" t="s">
        <v>97</v>
      </c>
      <c r="BS2983" s="3">
        <v>45957</v>
      </c>
      <c r="BT2983" s="4">
        <v>0.39583333333333331</v>
      </c>
      <c r="BU2983" t="s">
        <v>3338</v>
      </c>
      <c r="BV2983" t="s">
        <v>86</v>
      </c>
      <c r="BY2983">
        <v>1200</v>
      </c>
      <c r="CA2983" t="s">
        <v>2853</v>
      </c>
      <c r="CC2983" t="s">
        <v>149</v>
      </c>
      <c r="CD2983">
        <v>2197</v>
      </c>
      <c r="CE2983" t="s">
        <v>147</v>
      </c>
      <c r="CF2983" s="3">
        <v>45958</v>
      </c>
      <c r="CI2983">
        <v>1</v>
      </c>
      <c r="CJ2983">
        <v>1</v>
      </c>
      <c r="CK2983">
        <v>22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"080068725319"</f>
        <v>080068725319</v>
      </c>
      <c r="F2984" s="3">
        <v>45954</v>
      </c>
      <c r="G2984">
        <v>202607</v>
      </c>
      <c r="H2984" t="s">
        <v>79</v>
      </c>
      <c r="I2984" t="s">
        <v>80</v>
      </c>
      <c r="J2984" t="s">
        <v>91</v>
      </c>
      <c r="K2984" t="s">
        <v>78</v>
      </c>
      <c r="L2984" t="s">
        <v>79</v>
      </c>
      <c r="M2984" t="s">
        <v>80</v>
      </c>
      <c r="N2984" t="s">
        <v>3063</v>
      </c>
      <c r="O2984" t="s">
        <v>82</v>
      </c>
      <c r="P2984" t="str">
        <f>"4170065975                    "</f>
        <v xml:space="preserve">4170065975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17.46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2.1</v>
      </c>
      <c r="BJ2984">
        <v>1.2</v>
      </c>
      <c r="BK2984">
        <v>3</v>
      </c>
      <c r="BL2984">
        <v>55.42</v>
      </c>
      <c r="BM2984">
        <v>8.31</v>
      </c>
      <c r="BN2984">
        <v>63.73</v>
      </c>
      <c r="BO2984">
        <v>63.73</v>
      </c>
      <c r="BQ2984" t="s">
        <v>3064</v>
      </c>
      <c r="BR2984" t="s">
        <v>97</v>
      </c>
      <c r="BS2984" s="3">
        <v>45957</v>
      </c>
      <c r="BT2984" s="4">
        <v>0.41666666666666669</v>
      </c>
      <c r="BU2984" t="s">
        <v>3339</v>
      </c>
      <c r="BV2984" t="s">
        <v>86</v>
      </c>
      <c r="BY2984">
        <v>5820.1</v>
      </c>
      <c r="CC2984" t="s">
        <v>80</v>
      </c>
      <c r="CD2984">
        <v>1665</v>
      </c>
      <c r="CE2984" t="s">
        <v>107</v>
      </c>
      <c r="CF2984" s="3">
        <v>45958</v>
      </c>
      <c r="CI2984">
        <v>1</v>
      </c>
      <c r="CJ2984">
        <v>1</v>
      </c>
      <c r="CK2984">
        <v>22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"080068725331"</f>
        <v>080068725331</v>
      </c>
      <c r="F2985" s="3">
        <v>45954</v>
      </c>
      <c r="G2985">
        <v>202607</v>
      </c>
      <c r="H2985" t="s">
        <v>79</v>
      </c>
      <c r="I2985" t="s">
        <v>80</v>
      </c>
      <c r="J2985" t="s">
        <v>91</v>
      </c>
      <c r="K2985" t="s">
        <v>78</v>
      </c>
      <c r="L2985" t="s">
        <v>453</v>
      </c>
      <c r="M2985" t="s">
        <v>454</v>
      </c>
      <c r="N2985" t="s">
        <v>563</v>
      </c>
      <c r="O2985" t="s">
        <v>82</v>
      </c>
      <c r="P2985" t="str">
        <f>"4170066046                    "</f>
        <v xml:space="preserve">4170066046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22.36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70.959999999999994</v>
      </c>
      <c r="BM2985">
        <v>10.64</v>
      </c>
      <c r="BN2985">
        <v>81.599999999999994</v>
      </c>
      <c r="BO2985">
        <v>81.599999999999994</v>
      </c>
      <c r="BQ2985" t="s">
        <v>564</v>
      </c>
      <c r="BR2985" t="s">
        <v>97</v>
      </c>
      <c r="BS2985" s="3">
        <v>45957</v>
      </c>
      <c r="BT2985" s="4">
        <v>0.4201388888888889</v>
      </c>
      <c r="BU2985" t="s">
        <v>3340</v>
      </c>
      <c r="BV2985" t="s">
        <v>86</v>
      </c>
      <c r="BY2985">
        <v>1200</v>
      </c>
      <c r="CA2985" t="s">
        <v>742</v>
      </c>
      <c r="CC2985" t="s">
        <v>454</v>
      </c>
      <c r="CD2985">
        <v>3610</v>
      </c>
      <c r="CE2985" t="s">
        <v>147</v>
      </c>
      <c r="CF2985" s="3">
        <v>45958</v>
      </c>
      <c r="CI2985">
        <v>1</v>
      </c>
      <c r="CJ2985">
        <v>1</v>
      </c>
      <c r="CK2985">
        <v>21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"080068725336"</f>
        <v>080068725336</v>
      </c>
      <c r="F2986" s="3">
        <v>45954</v>
      </c>
      <c r="G2986">
        <v>202607</v>
      </c>
      <c r="H2986" t="s">
        <v>79</v>
      </c>
      <c r="I2986" t="s">
        <v>80</v>
      </c>
      <c r="J2986" t="s">
        <v>91</v>
      </c>
      <c r="K2986" t="s">
        <v>78</v>
      </c>
      <c r="L2986" t="s">
        <v>453</v>
      </c>
      <c r="M2986" t="s">
        <v>454</v>
      </c>
      <c r="N2986" t="s">
        <v>455</v>
      </c>
      <c r="O2986" t="s">
        <v>82</v>
      </c>
      <c r="P2986" t="str">
        <f>"4170066037                    "</f>
        <v xml:space="preserve">4170066037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22.36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</v>
      </c>
      <c r="BK2986">
        <v>1</v>
      </c>
      <c r="BL2986">
        <v>70.959999999999994</v>
      </c>
      <c r="BM2986">
        <v>10.64</v>
      </c>
      <c r="BN2986">
        <v>81.599999999999994</v>
      </c>
      <c r="BO2986">
        <v>81.599999999999994</v>
      </c>
      <c r="BQ2986" t="s">
        <v>456</v>
      </c>
      <c r="BR2986" t="s">
        <v>97</v>
      </c>
      <c r="BS2986" s="3">
        <v>45957</v>
      </c>
      <c r="BT2986" s="4">
        <v>0.41666666666666669</v>
      </c>
      <c r="BU2986" t="s">
        <v>3341</v>
      </c>
      <c r="BV2986" t="s">
        <v>86</v>
      </c>
      <c r="BY2986">
        <v>55.1</v>
      </c>
      <c r="CC2986" t="s">
        <v>454</v>
      </c>
      <c r="CD2986">
        <v>3608</v>
      </c>
      <c r="CE2986" t="s">
        <v>191</v>
      </c>
      <c r="CF2986" s="3">
        <v>45958</v>
      </c>
      <c r="CI2986">
        <v>1</v>
      </c>
      <c r="CJ2986">
        <v>1</v>
      </c>
      <c r="CK2986">
        <v>21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"080068725341"</f>
        <v>080068725341</v>
      </c>
      <c r="F2987" s="3">
        <v>45954</v>
      </c>
      <c r="G2987">
        <v>202607</v>
      </c>
      <c r="H2987" t="s">
        <v>79</v>
      </c>
      <c r="I2987" t="s">
        <v>80</v>
      </c>
      <c r="J2987" t="s">
        <v>91</v>
      </c>
      <c r="K2987" t="s">
        <v>78</v>
      </c>
      <c r="L2987" t="s">
        <v>121</v>
      </c>
      <c r="M2987" t="s">
        <v>122</v>
      </c>
      <c r="N2987" t="s">
        <v>154</v>
      </c>
      <c r="O2987" t="s">
        <v>82</v>
      </c>
      <c r="P2987" t="str">
        <f>"4170066035                    "</f>
        <v xml:space="preserve">4170066035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22.36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70.959999999999994</v>
      </c>
      <c r="BM2987">
        <v>10.64</v>
      </c>
      <c r="BN2987">
        <v>81.599999999999994</v>
      </c>
      <c r="BO2987">
        <v>81.599999999999994</v>
      </c>
      <c r="BQ2987" t="s">
        <v>155</v>
      </c>
      <c r="BR2987" t="s">
        <v>97</v>
      </c>
      <c r="BS2987" s="3">
        <v>45957</v>
      </c>
      <c r="BT2987" s="4">
        <v>0.38055555555555554</v>
      </c>
      <c r="BU2987" t="s">
        <v>156</v>
      </c>
      <c r="BV2987" t="s">
        <v>86</v>
      </c>
      <c r="BY2987">
        <v>1200</v>
      </c>
      <c r="CA2987" t="s">
        <v>157</v>
      </c>
      <c r="CC2987" t="s">
        <v>122</v>
      </c>
      <c r="CD2987">
        <v>4052</v>
      </c>
      <c r="CE2987" t="s">
        <v>147</v>
      </c>
      <c r="CF2987" s="3">
        <v>45958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"080068725352"</f>
        <v>080068725352</v>
      </c>
      <c r="F2988" s="3">
        <v>45954</v>
      </c>
      <c r="G2988">
        <v>202607</v>
      </c>
      <c r="H2988" t="s">
        <v>79</v>
      </c>
      <c r="I2988" t="s">
        <v>80</v>
      </c>
      <c r="J2988" t="s">
        <v>91</v>
      </c>
      <c r="K2988" t="s">
        <v>78</v>
      </c>
      <c r="L2988" t="s">
        <v>453</v>
      </c>
      <c r="M2988" t="s">
        <v>454</v>
      </c>
      <c r="N2988" t="s">
        <v>2863</v>
      </c>
      <c r="O2988" t="s">
        <v>82</v>
      </c>
      <c r="P2988" t="str">
        <f>"4170066032                    "</f>
        <v xml:space="preserve">4170066032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22.36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1.1000000000000001</v>
      </c>
      <c r="BK2988">
        <v>1.5</v>
      </c>
      <c r="BL2988">
        <v>70.959999999999994</v>
      </c>
      <c r="BM2988">
        <v>10.64</v>
      </c>
      <c r="BN2988">
        <v>81.599999999999994</v>
      </c>
      <c r="BO2988">
        <v>81.599999999999994</v>
      </c>
      <c r="BQ2988" t="s">
        <v>2864</v>
      </c>
      <c r="BR2988" t="s">
        <v>97</v>
      </c>
      <c r="BS2988" s="3">
        <v>45957</v>
      </c>
      <c r="BT2988" s="4">
        <v>0.43402777777777779</v>
      </c>
      <c r="BU2988" t="s">
        <v>2146</v>
      </c>
      <c r="BV2988" t="s">
        <v>86</v>
      </c>
      <c r="BY2988">
        <v>5510</v>
      </c>
      <c r="CA2988" t="s">
        <v>457</v>
      </c>
      <c r="CC2988" t="s">
        <v>454</v>
      </c>
      <c r="CD2988">
        <v>3610</v>
      </c>
      <c r="CE2988" t="s">
        <v>191</v>
      </c>
      <c r="CF2988" s="3">
        <v>45958</v>
      </c>
      <c r="CI2988">
        <v>1</v>
      </c>
      <c r="CJ2988">
        <v>1</v>
      </c>
      <c r="CK2988">
        <v>21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"080068725357"</f>
        <v>080068725357</v>
      </c>
      <c r="F2989" s="3">
        <v>45954</v>
      </c>
      <c r="G2989">
        <v>202607</v>
      </c>
      <c r="H2989" t="s">
        <v>79</v>
      </c>
      <c r="I2989" t="s">
        <v>80</v>
      </c>
      <c r="J2989" t="s">
        <v>91</v>
      </c>
      <c r="K2989" t="s">
        <v>78</v>
      </c>
      <c r="L2989" t="s">
        <v>265</v>
      </c>
      <c r="M2989" t="s">
        <v>266</v>
      </c>
      <c r="N2989" t="s">
        <v>536</v>
      </c>
      <c r="O2989" t="s">
        <v>82</v>
      </c>
      <c r="P2989" t="str">
        <f>"4170066045                    "</f>
        <v xml:space="preserve">4170066045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22.36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70.959999999999994</v>
      </c>
      <c r="BM2989">
        <v>10.64</v>
      </c>
      <c r="BN2989">
        <v>81.599999999999994</v>
      </c>
      <c r="BO2989">
        <v>81.599999999999994</v>
      </c>
      <c r="BQ2989" t="s">
        <v>537</v>
      </c>
      <c r="BR2989" t="s">
        <v>97</v>
      </c>
      <c r="BS2989" s="3">
        <v>45957</v>
      </c>
      <c r="BT2989" s="4">
        <v>0.33333333333333331</v>
      </c>
      <c r="BU2989" t="s">
        <v>2930</v>
      </c>
      <c r="BV2989" t="s">
        <v>86</v>
      </c>
      <c r="BY2989">
        <v>1200</v>
      </c>
      <c r="CA2989" t="s">
        <v>818</v>
      </c>
      <c r="CC2989" t="s">
        <v>266</v>
      </c>
      <c r="CD2989">
        <v>6230</v>
      </c>
      <c r="CE2989" t="s">
        <v>147</v>
      </c>
      <c r="CF2989" s="3">
        <v>45957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"080068725503"</f>
        <v>080068725503</v>
      </c>
      <c r="F2990" s="3">
        <v>45954</v>
      </c>
      <c r="G2990">
        <v>202607</v>
      </c>
      <c r="H2990" t="s">
        <v>79</v>
      </c>
      <c r="I2990" t="s">
        <v>80</v>
      </c>
      <c r="J2990" t="s">
        <v>91</v>
      </c>
      <c r="K2990" t="s">
        <v>78</v>
      </c>
      <c r="L2990" t="s">
        <v>668</v>
      </c>
      <c r="M2990" t="s">
        <v>669</v>
      </c>
      <c r="N2990" t="s">
        <v>3342</v>
      </c>
      <c r="O2990" t="s">
        <v>226</v>
      </c>
      <c r="P2990" t="str">
        <f>"4170066057                    "</f>
        <v xml:space="preserve">4170066057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17.47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4.3</v>
      </c>
      <c r="BJ2990">
        <v>4</v>
      </c>
      <c r="BK2990">
        <v>5</v>
      </c>
      <c r="BL2990">
        <v>55.44</v>
      </c>
      <c r="BM2990">
        <v>8.32</v>
      </c>
      <c r="BN2990">
        <v>63.76</v>
      </c>
      <c r="BO2990">
        <v>63.76</v>
      </c>
      <c r="BQ2990" t="s">
        <v>3343</v>
      </c>
      <c r="BR2990" t="s">
        <v>97</v>
      </c>
      <c r="BS2990" s="3">
        <v>45957</v>
      </c>
      <c r="BT2990" s="4">
        <v>0.53611111111111109</v>
      </c>
      <c r="BU2990" t="s">
        <v>3344</v>
      </c>
      <c r="BV2990" t="s">
        <v>86</v>
      </c>
      <c r="BY2990">
        <v>19968.2</v>
      </c>
      <c r="CA2990" t="s">
        <v>673</v>
      </c>
      <c r="CC2990" t="s">
        <v>669</v>
      </c>
      <c r="CD2990">
        <v>1500</v>
      </c>
      <c r="CE2990" t="s">
        <v>107</v>
      </c>
      <c r="CF2990" s="3">
        <v>45957</v>
      </c>
      <c r="CI2990">
        <v>1</v>
      </c>
      <c r="CJ2990">
        <v>1</v>
      </c>
      <c r="CK2990">
        <v>32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"080068725540"</f>
        <v>080068725540</v>
      </c>
      <c r="F2991" s="3">
        <v>45954</v>
      </c>
      <c r="G2991">
        <v>202607</v>
      </c>
      <c r="H2991" t="s">
        <v>79</v>
      </c>
      <c r="I2991" t="s">
        <v>80</v>
      </c>
      <c r="J2991" t="s">
        <v>91</v>
      </c>
      <c r="K2991" t="s">
        <v>78</v>
      </c>
      <c r="L2991" t="s">
        <v>271</v>
      </c>
      <c r="M2991" t="s">
        <v>272</v>
      </c>
      <c r="N2991" t="s">
        <v>368</v>
      </c>
      <c r="O2991" t="s">
        <v>226</v>
      </c>
      <c r="P2991" t="str">
        <f>"4170065705                    "</f>
        <v xml:space="preserve">4170065705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17.47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6.4</v>
      </c>
      <c r="BJ2991">
        <v>1.5</v>
      </c>
      <c r="BK2991">
        <v>7</v>
      </c>
      <c r="BL2991">
        <v>55.44</v>
      </c>
      <c r="BM2991">
        <v>8.32</v>
      </c>
      <c r="BN2991">
        <v>63.76</v>
      </c>
      <c r="BO2991">
        <v>63.76</v>
      </c>
      <c r="BQ2991" t="s">
        <v>369</v>
      </c>
      <c r="BR2991" t="s">
        <v>97</v>
      </c>
      <c r="BS2991" s="3">
        <v>45957</v>
      </c>
      <c r="BT2991" s="4">
        <v>0.41597222222222224</v>
      </c>
      <c r="BU2991" t="s">
        <v>1902</v>
      </c>
      <c r="BV2991" t="s">
        <v>86</v>
      </c>
      <c r="BY2991">
        <v>7594.35</v>
      </c>
      <c r="CA2991" t="s">
        <v>371</v>
      </c>
      <c r="CC2991" t="s">
        <v>272</v>
      </c>
      <c r="CD2991">
        <v>1401</v>
      </c>
      <c r="CE2991" t="s">
        <v>191</v>
      </c>
      <c r="CF2991" s="3">
        <v>45957</v>
      </c>
      <c r="CI2991">
        <v>1</v>
      </c>
      <c r="CJ2991">
        <v>1</v>
      </c>
      <c r="CK2991">
        <v>32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"080068725634"</f>
        <v>080068725634</v>
      </c>
      <c r="F2992" s="3">
        <v>45954</v>
      </c>
      <c r="G2992">
        <v>202607</v>
      </c>
      <c r="H2992" t="s">
        <v>79</v>
      </c>
      <c r="I2992" t="s">
        <v>80</v>
      </c>
      <c r="J2992" t="s">
        <v>91</v>
      </c>
      <c r="K2992" t="s">
        <v>78</v>
      </c>
      <c r="L2992" t="s">
        <v>121</v>
      </c>
      <c r="M2992" t="s">
        <v>122</v>
      </c>
      <c r="N2992" t="s">
        <v>318</v>
      </c>
      <c r="O2992" t="s">
        <v>82</v>
      </c>
      <c r="P2992" t="str">
        <f>"4170066080                    "</f>
        <v xml:space="preserve">4170066080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22.36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70.959999999999994</v>
      </c>
      <c r="BM2992">
        <v>10.64</v>
      </c>
      <c r="BN2992">
        <v>81.599999999999994</v>
      </c>
      <c r="BO2992">
        <v>81.599999999999994</v>
      </c>
      <c r="BQ2992" t="s">
        <v>319</v>
      </c>
      <c r="BR2992" t="s">
        <v>97</v>
      </c>
      <c r="BS2992" s="3">
        <v>45957</v>
      </c>
      <c r="BT2992" s="4">
        <v>0.37777777777777777</v>
      </c>
      <c r="BU2992" t="s">
        <v>3345</v>
      </c>
      <c r="BV2992" t="s">
        <v>86</v>
      </c>
      <c r="BY2992">
        <v>1200</v>
      </c>
      <c r="CA2992" t="s">
        <v>321</v>
      </c>
      <c r="CC2992" t="s">
        <v>122</v>
      </c>
      <c r="CD2992">
        <v>4001</v>
      </c>
      <c r="CE2992" t="s">
        <v>147</v>
      </c>
      <c r="CF2992" s="3">
        <v>45958</v>
      </c>
      <c r="CI2992">
        <v>1</v>
      </c>
      <c r="CJ2992">
        <v>1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"080068725702"</f>
        <v>080068725702</v>
      </c>
      <c r="F2993" s="3">
        <v>45954</v>
      </c>
      <c r="G2993">
        <v>202607</v>
      </c>
      <c r="H2993" t="s">
        <v>79</v>
      </c>
      <c r="I2993" t="s">
        <v>80</v>
      </c>
      <c r="J2993" t="s">
        <v>91</v>
      </c>
      <c r="K2993" t="s">
        <v>78</v>
      </c>
      <c r="L2993" t="s">
        <v>3346</v>
      </c>
      <c r="M2993" t="s">
        <v>3347</v>
      </c>
      <c r="N2993" t="s">
        <v>3348</v>
      </c>
      <c r="O2993" t="s">
        <v>82</v>
      </c>
      <c r="P2993" t="str">
        <f>"4170066083                    "</f>
        <v xml:space="preserve">4170066083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43.31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137.47</v>
      </c>
      <c r="BM2993">
        <v>20.62</v>
      </c>
      <c r="BN2993">
        <v>158.09</v>
      </c>
      <c r="BO2993">
        <v>158.09</v>
      </c>
      <c r="BQ2993" t="s">
        <v>3349</v>
      </c>
      <c r="BR2993" t="s">
        <v>97</v>
      </c>
      <c r="BS2993" s="3">
        <v>45959</v>
      </c>
      <c r="BT2993" s="4">
        <v>0.52222222222222225</v>
      </c>
      <c r="BU2993" t="s">
        <v>3350</v>
      </c>
      <c r="BV2993" t="s">
        <v>90</v>
      </c>
      <c r="BW2993" t="s">
        <v>731</v>
      </c>
      <c r="BX2993" t="s">
        <v>3351</v>
      </c>
      <c r="BY2993">
        <v>1200</v>
      </c>
      <c r="CA2993" t="s">
        <v>3352</v>
      </c>
      <c r="CC2993" t="s">
        <v>3347</v>
      </c>
      <c r="CD2993">
        <v>6600</v>
      </c>
      <c r="CE2993" t="s">
        <v>147</v>
      </c>
      <c r="CF2993" s="3">
        <v>45960</v>
      </c>
      <c r="CI2993">
        <v>2</v>
      </c>
      <c r="CJ2993">
        <v>3</v>
      </c>
      <c r="CK2993">
        <v>23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"080068725781"</f>
        <v>080068725781</v>
      </c>
      <c r="F2994" s="3">
        <v>45954</v>
      </c>
      <c r="G2994">
        <v>202607</v>
      </c>
      <c r="H2994" t="s">
        <v>79</v>
      </c>
      <c r="I2994" t="s">
        <v>80</v>
      </c>
      <c r="J2994" t="s">
        <v>91</v>
      </c>
      <c r="K2994" t="s">
        <v>78</v>
      </c>
      <c r="L2994" t="s">
        <v>92</v>
      </c>
      <c r="M2994" t="s">
        <v>93</v>
      </c>
      <c r="N2994" t="s">
        <v>597</v>
      </c>
      <c r="O2994" t="s">
        <v>82</v>
      </c>
      <c r="P2994" t="str">
        <f>"4170065954                    "</f>
        <v xml:space="preserve">4170065954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117.29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10.1</v>
      </c>
      <c r="BJ2994">
        <v>3.2</v>
      </c>
      <c r="BK2994">
        <v>10.5</v>
      </c>
      <c r="BL2994">
        <v>372.27</v>
      </c>
      <c r="BM2994">
        <v>55.84</v>
      </c>
      <c r="BN2994">
        <v>428.11</v>
      </c>
      <c r="BO2994">
        <v>428.11</v>
      </c>
      <c r="BQ2994" t="s">
        <v>598</v>
      </c>
      <c r="BR2994" t="s">
        <v>97</v>
      </c>
      <c r="BS2994" s="3">
        <v>45957</v>
      </c>
      <c r="BT2994" s="4">
        <v>0.48680555555555555</v>
      </c>
      <c r="BU2994" t="s">
        <v>1065</v>
      </c>
      <c r="BV2994" t="s">
        <v>86</v>
      </c>
      <c r="BY2994">
        <v>15899.85</v>
      </c>
      <c r="CA2994" t="s">
        <v>600</v>
      </c>
      <c r="CC2994" t="s">
        <v>93</v>
      </c>
      <c r="CD2994">
        <v>3201</v>
      </c>
      <c r="CE2994" t="s">
        <v>191</v>
      </c>
      <c r="CF2994" s="3">
        <v>45958</v>
      </c>
      <c r="CI2994">
        <v>1</v>
      </c>
      <c r="CJ2994">
        <v>1</v>
      </c>
      <c r="CK2994">
        <v>21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"080068725797"</f>
        <v>080068725797</v>
      </c>
      <c r="F2995" s="3">
        <v>45954</v>
      </c>
      <c r="G2995">
        <v>202607</v>
      </c>
      <c r="H2995" t="s">
        <v>79</v>
      </c>
      <c r="I2995" t="s">
        <v>80</v>
      </c>
      <c r="J2995" t="s">
        <v>91</v>
      </c>
      <c r="K2995" t="s">
        <v>78</v>
      </c>
      <c r="L2995" t="s">
        <v>108</v>
      </c>
      <c r="M2995" t="s">
        <v>109</v>
      </c>
      <c r="N2995" t="s">
        <v>315</v>
      </c>
      <c r="O2995" t="s">
        <v>82</v>
      </c>
      <c r="P2995" t="str">
        <f>"4170066082                    "</f>
        <v xml:space="preserve">4170066082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22.36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70.959999999999994</v>
      </c>
      <c r="BM2995">
        <v>10.64</v>
      </c>
      <c r="BN2995">
        <v>81.599999999999994</v>
      </c>
      <c r="BO2995">
        <v>81.599999999999994</v>
      </c>
      <c r="BQ2995" t="s">
        <v>1351</v>
      </c>
      <c r="BR2995" t="s">
        <v>97</v>
      </c>
      <c r="BS2995" s="3">
        <v>45957</v>
      </c>
      <c r="BT2995" s="4">
        <v>0.42777777777777776</v>
      </c>
      <c r="BU2995" t="s">
        <v>3294</v>
      </c>
      <c r="BV2995" t="s">
        <v>86</v>
      </c>
      <c r="BY2995">
        <v>1200</v>
      </c>
      <c r="CA2995" t="s">
        <v>1070</v>
      </c>
      <c r="CC2995" t="s">
        <v>109</v>
      </c>
      <c r="CD2995">
        <v>6045</v>
      </c>
      <c r="CE2995" t="s">
        <v>147</v>
      </c>
      <c r="CF2995" s="3">
        <v>45957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"080068725802"</f>
        <v>080068725802</v>
      </c>
      <c r="F2996" s="3">
        <v>45954</v>
      </c>
      <c r="G2996">
        <v>202607</v>
      </c>
      <c r="H2996" t="s">
        <v>79</v>
      </c>
      <c r="I2996" t="s">
        <v>80</v>
      </c>
      <c r="J2996" t="s">
        <v>91</v>
      </c>
      <c r="K2996" t="s">
        <v>78</v>
      </c>
      <c r="L2996" t="s">
        <v>1312</v>
      </c>
      <c r="M2996" t="s">
        <v>1313</v>
      </c>
      <c r="N2996" t="s">
        <v>1314</v>
      </c>
      <c r="O2996" t="s">
        <v>82</v>
      </c>
      <c r="P2996" t="str">
        <f>"4170065711                    "</f>
        <v xml:space="preserve">4170065711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54.4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2.8</v>
      </c>
      <c r="BJ2996">
        <v>3.5</v>
      </c>
      <c r="BK2996">
        <v>3.5</v>
      </c>
      <c r="BL2996">
        <v>172.67</v>
      </c>
      <c r="BM2996">
        <v>25.9</v>
      </c>
      <c r="BN2996">
        <v>198.57</v>
      </c>
      <c r="BO2996">
        <v>198.57</v>
      </c>
      <c r="BQ2996" t="s">
        <v>1315</v>
      </c>
      <c r="BR2996" t="s">
        <v>97</v>
      </c>
      <c r="BS2996" s="3">
        <v>45957</v>
      </c>
      <c r="BT2996" s="4">
        <v>0.43194444444444446</v>
      </c>
      <c r="BU2996" t="s">
        <v>2713</v>
      </c>
      <c r="BV2996" t="s">
        <v>86</v>
      </c>
      <c r="BY2996">
        <v>17684.099999999999</v>
      </c>
      <c r="CA2996" t="s">
        <v>2714</v>
      </c>
      <c r="CC2996" t="s">
        <v>1313</v>
      </c>
      <c r="CD2996">
        <v>2410</v>
      </c>
      <c r="CE2996" t="s">
        <v>191</v>
      </c>
      <c r="CF2996" s="3">
        <v>45958</v>
      </c>
      <c r="CI2996">
        <v>1</v>
      </c>
      <c r="CJ2996">
        <v>1</v>
      </c>
      <c r="CK2996">
        <v>24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"080068725814"</f>
        <v>080068725814</v>
      </c>
      <c r="F2997" s="3">
        <v>45954</v>
      </c>
      <c r="G2997">
        <v>202607</v>
      </c>
      <c r="H2997" t="s">
        <v>79</v>
      </c>
      <c r="I2997" t="s">
        <v>80</v>
      </c>
      <c r="J2997" t="s">
        <v>91</v>
      </c>
      <c r="K2997" t="s">
        <v>78</v>
      </c>
      <c r="L2997" t="s">
        <v>3346</v>
      </c>
      <c r="M2997" t="s">
        <v>3347</v>
      </c>
      <c r="N2997" t="s">
        <v>3353</v>
      </c>
      <c r="O2997" t="s">
        <v>82</v>
      </c>
      <c r="P2997" t="str">
        <f>"4170066086                    "</f>
        <v xml:space="preserve">4170066086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43.31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137.47</v>
      </c>
      <c r="BM2997">
        <v>20.62</v>
      </c>
      <c r="BN2997">
        <v>158.09</v>
      </c>
      <c r="BO2997">
        <v>158.09</v>
      </c>
      <c r="BQ2997" t="s">
        <v>3354</v>
      </c>
      <c r="BR2997" t="s">
        <v>97</v>
      </c>
      <c r="BS2997" t="s">
        <v>2659</v>
      </c>
      <c r="BY2997">
        <v>1200</v>
      </c>
      <c r="CC2997" t="s">
        <v>3347</v>
      </c>
      <c r="CD2997">
        <v>6600</v>
      </c>
      <c r="CE2997" t="s">
        <v>147</v>
      </c>
      <c r="CI2997">
        <v>2</v>
      </c>
      <c r="CJ2997" t="s">
        <v>2659</v>
      </c>
      <c r="CK2997">
        <v>23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"080068725819"</f>
        <v>080068725819</v>
      </c>
      <c r="F2998" s="3">
        <v>45954</v>
      </c>
      <c r="G2998">
        <v>202607</v>
      </c>
      <c r="H2998" t="s">
        <v>79</v>
      </c>
      <c r="I2998" t="s">
        <v>80</v>
      </c>
      <c r="J2998" t="s">
        <v>91</v>
      </c>
      <c r="K2998" t="s">
        <v>78</v>
      </c>
      <c r="L2998" t="s">
        <v>206</v>
      </c>
      <c r="M2998" t="s">
        <v>207</v>
      </c>
      <c r="N2998" t="s">
        <v>566</v>
      </c>
      <c r="O2998" t="s">
        <v>82</v>
      </c>
      <c r="P2998" t="str">
        <f>"4170066087                    "</f>
        <v xml:space="preserve">4170066087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22.36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1.7</v>
      </c>
      <c r="BK2998">
        <v>2</v>
      </c>
      <c r="BL2998">
        <v>70.959999999999994</v>
      </c>
      <c r="BM2998">
        <v>10.64</v>
      </c>
      <c r="BN2998">
        <v>81.599999999999994</v>
      </c>
      <c r="BO2998">
        <v>81.599999999999994</v>
      </c>
      <c r="BQ2998" t="s">
        <v>567</v>
      </c>
      <c r="BR2998" t="s">
        <v>97</v>
      </c>
      <c r="BS2998" s="3">
        <v>45957</v>
      </c>
      <c r="BT2998" s="4">
        <v>0.37222222222222223</v>
      </c>
      <c r="BU2998" t="s">
        <v>3322</v>
      </c>
      <c r="BV2998" t="s">
        <v>86</v>
      </c>
      <c r="BY2998">
        <v>8550</v>
      </c>
      <c r="CA2998" t="s">
        <v>569</v>
      </c>
      <c r="CC2998" t="s">
        <v>207</v>
      </c>
      <c r="CD2998">
        <v>7945</v>
      </c>
      <c r="CE2998" t="s">
        <v>191</v>
      </c>
      <c r="CF2998" s="3">
        <v>45958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"080068725827"</f>
        <v>080068725827</v>
      </c>
      <c r="F2999" s="3">
        <v>45954</v>
      </c>
      <c r="G2999">
        <v>202607</v>
      </c>
      <c r="H2999" t="s">
        <v>79</v>
      </c>
      <c r="I2999" t="s">
        <v>80</v>
      </c>
      <c r="J2999" t="s">
        <v>91</v>
      </c>
      <c r="K2999" t="s">
        <v>78</v>
      </c>
      <c r="L2999" t="s">
        <v>206</v>
      </c>
      <c r="M2999" t="s">
        <v>207</v>
      </c>
      <c r="N2999" t="s">
        <v>1115</v>
      </c>
      <c r="O2999" t="s">
        <v>82</v>
      </c>
      <c r="P2999" t="str">
        <f>"4170066090                    "</f>
        <v xml:space="preserve">4170066090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22.36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70.959999999999994</v>
      </c>
      <c r="BM2999">
        <v>10.64</v>
      </c>
      <c r="BN2999">
        <v>81.599999999999994</v>
      </c>
      <c r="BO2999">
        <v>81.599999999999994</v>
      </c>
      <c r="BQ2999" t="s">
        <v>1116</v>
      </c>
      <c r="BR2999" t="s">
        <v>97</v>
      </c>
      <c r="BS2999" s="3">
        <v>45957</v>
      </c>
      <c r="BT2999" s="4">
        <v>0.40138888888888891</v>
      </c>
      <c r="BU2999" t="s">
        <v>3355</v>
      </c>
      <c r="BV2999" t="s">
        <v>86</v>
      </c>
      <c r="BY2999">
        <v>1200</v>
      </c>
      <c r="CA2999" t="s">
        <v>461</v>
      </c>
      <c r="CC2999" t="s">
        <v>207</v>
      </c>
      <c r="CD2999">
        <v>7530</v>
      </c>
      <c r="CE2999" t="s">
        <v>147</v>
      </c>
      <c r="CF2999" s="3">
        <v>45958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"080068725837"</f>
        <v>080068725837</v>
      </c>
      <c r="F3000" s="3">
        <v>45954</v>
      </c>
      <c r="G3000">
        <v>202607</v>
      </c>
      <c r="H3000" t="s">
        <v>79</v>
      </c>
      <c r="I3000" t="s">
        <v>80</v>
      </c>
      <c r="J3000" t="s">
        <v>91</v>
      </c>
      <c r="K3000" t="s">
        <v>78</v>
      </c>
      <c r="L3000" t="s">
        <v>79</v>
      </c>
      <c r="M3000" t="s">
        <v>80</v>
      </c>
      <c r="N3000" t="s">
        <v>3356</v>
      </c>
      <c r="O3000" t="s">
        <v>82</v>
      </c>
      <c r="P3000" t="str">
        <f>"4170066094                    "</f>
        <v xml:space="preserve">4170066094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17.46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55.42</v>
      </c>
      <c r="BM3000">
        <v>8.31</v>
      </c>
      <c r="BN3000">
        <v>63.73</v>
      </c>
      <c r="BO3000">
        <v>63.73</v>
      </c>
      <c r="BQ3000" t="s">
        <v>3357</v>
      </c>
      <c r="BR3000" t="s">
        <v>97</v>
      </c>
      <c r="BS3000" s="3">
        <v>45958</v>
      </c>
      <c r="BT3000" s="4">
        <v>0.47638888888888886</v>
      </c>
      <c r="BU3000" t="s">
        <v>3358</v>
      </c>
      <c r="BV3000" t="s">
        <v>90</v>
      </c>
      <c r="BW3000" t="s">
        <v>188</v>
      </c>
      <c r="BX3000" t="s">
        <v>677</v>
      </c>
      <c r="BY3000">
        <v>1200</v>
      </c>
      <c r="CA3000" t="s">
        <v>3359</v>
      </c>
      <c r="CC3000" t="s">
        <v>80</v>
      </c>
      <c r="CD3000">
        <v>1620</v>
      </c>
      <c r="CE3000" t="s">
        <v>147</v>
      </c>
      <c r="CF3000" s="3">
        <v>45958</v>
      </c>
      <c r="CI3000">
        <v>1</v>
      </c>
      <c r="CJ3000">
        <v>2</v>
      </c>
      <c r="CK3000">
        <v>22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"080068725853"</f>
        <v>080068725853</v>
      </c>
      <c r="F3001" s="3">
        <v>45954</v>
      </c>
      <c r="G3001">
        <v>202607</v>
      </c>
      <c r="H3001" t="s">
        <v>79</v>
      </c>
      <c r="I3001" t="s">
        <v>80</v>
      </c>
      <c r="J3001" t="s">
        <v>91</v>
      </c>
      <c r="K3001" t="s">
        <v>78</v>
      </c>
      <c r="L3001" t="s">
        <v>108</v>
      </c>
      <c r="M3001" t="s">
        <v>109</v>
      </c>
      <c r="N3001" t="s">
        <v>2559</v>
      </c>
      <c r="O3001" t="s">
        <v>82</v>
      </c>
      <c r="P3001" t="str">
        <f>"4170065995                    "</f>
        <v xml:space="preserve">4170065995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22.36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70.959999999999994</v>
      </c>
      <c r="BM3001">
        <v>10.64</v>
      </c>
      <c r="BN3001">
        <v>81.599999999999994</v>
      </c>
      <c r="BO3001">
        <v>81.599999999999994</v>
      </c>
      <c r="BQ3001" t="s">
        <v>2560</v>
      </c>
      <c r="BR3001" t="s">
        <v>97</v>
      </c>
      <c r="BS3001" s="3">
        <v>45957</v>
      </c>
      <c r="BT3001" s="4">
        <v>0.39930555555555558</v>
      </c>
      <c r="BU3001" t="s">
        <v>3197</v>
      </c>
      <c r="BV3001" t="s">
        <v>86</v>
      </c>
      <c r="BY3001">
        <v>1200</v>
      </c>
      <c r="CA3001" t="s">
        <v>2562</v>
      </c>
      <c r="CC3001" t="s">
        <v>109</v>
      </c>
      <c r="CD3001">
        <v>6001</v>
      </c>
      <c r="CE3001" t="s">
        <v>147</v>
      </c>
      <c r="CF3001" s="3">
        <v>45957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"080068725885"</f>
        <v>080068725885</v>
      </c>
      <c r="F3002" s="3">
        <v>45954</v>
      </c>
      <c r="G3002">
        <v>202607</v>
      </c>
      <c r="H3002" t="s">
        <v>79</v>
      </c>
      <c r="I3002" t="s">
        <v>80</v>
      </c>
      <c r="J3002" t="s">
        <v>91</v>
      </c>
      <c r="K3002" t="s">
        <v>78</v>
      </c>
      <c r="L3002" t="s">
        <v>246</v>
      </c>
      <c r="M3002" t="s">
        <v>247</v>
      </c>
      <c r="N3002" t="s">
        <v>2893</v>
      </c>
      <c r="O3002" t="s">
        <v>82</v>
      </c>
      <c r="P3002" t="str">
        <f>"4170066091                    "</f>
        <v xml:space="preserve">4170066091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43.31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16.739999999999998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154.21</v>
      </c>
      <c r="BM3002">
        <v>23.13</v>
      </c>
      <c r="BN3002">
        <v>177.34</v>
      </c>
      <c r="BO3002">
        <v>177.34</v>
      </c>
      <c r="BQ3002" t="s">
        <v>2894</v>
      </c>
      <c r="BR3002" t="s">
        <v>97</v>
      </c>
      <c r="BS3002" s="3">
        <v>45957</v>
      </c>
      <c r="BT3002" s="4">
        <v>0.5</v>
      </c>
      <c r="BU3002" t="s">
        <v>3081</v>
      </c>
      <c r="BV3002" t="s">
        <v>86</v>
      </c>
      <c r="BY3002">
        <v>1200</v>
      </c>
      <c r="BZ3002" t="s">
        <v>30</v>
      </c>
      <c r="CC3002" t="s">
        <v>247</v>
      </c>
      <c r="CD3002" s="5" t="s">
        <v>2896</v>
      </c>
      <c r="CE3002" t="s">
        <v>147</v>
      </c>
      <c r="CF3002" s="3">
        <v>45958</v>
      </c>
      <c r="CI3002">
        <v>1</v>
      </c>
      <c r="CJ3002">
        <v>1</v>
      </c>
      <c r="CK3002">
        <v>23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"080068725925"</f>
        <v>080068725925</v>
      </c>
      <c r="F3003" s="3">
        <v>45954</v>
      </c>
      <c r="G3003">
        <v>202607</v>
      </c>
      <c r="H3003" t="s">
        <v>79</v>
      </c>
      <c r="I3003" t="s">
        <v>80</v>
      </c>
      <c r="J3003" t="s">
        <v>91</v>
      </c>
      <c r="K3003" t="s">
        <v>78</v>
      </c>
      <c r="L3003" t="s">
        <v>121</v>
      </c>
      <c r="M3003" t="s">
        <v>122</v>
      </c>
      <c r="N3003" t="s">
        <v>632</v>
      </c>
      <c r="O3003" t="s">
        <v>82</v>
      </c>
      <c r="P3003" t="str">
        <f>"4170066104                    "</f>
        <v xml:space="preserve">4170066104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22.36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70.959999999999994</v>
      </c>
      <c r="BM3003">
        <v>10.64</v>
      </c>
      <c r="BN3003">
        <v>81.599999999999994</v>
      </c>
      <c r="BO3003">
        <v>81.599999999999994</v>
      </c>
      <c r="BQ3003" t="s">
        <v>633</v>
      </c>
      <c r="BR3003" t="s">
        <v>97</v>
      </c>
      <c r="BS3003" s="3">
        <v>45957</v>
      </c>
      <c r="BT3003" s="4">
        <v>0.43402777777777779</v>
      </c>
      <c r="BU3003" t="s">
        <v>3298</v>
      </c>
      <c r="BV3003" t="s">
        <v>86</v>
      </c>
      <c r="BY3003">
        <v>1200</v>
      </c>
      <c r="CA3003" t="s">
        <v>635</v>
      </c>
      <c r="CC3003" t="s">
        <v>122</v>
      </c>
      <c r="CD3003">
        <v>4000</v>
      </c>
      <c r="CE3003" t="s">
        <v>147</v>
      </c>
      <c r="CF3003" s="3">
        <v>45958</v>
      </c>
      <c r="CI3003">
        <v>1</v>
      </c>
      <c r="CJ3003">
        <v>1</v>
      </c>
      <c r="CK3003">
        <v>21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"080068725960"</f>
        <v>080068725960</v>
      </c>
      <c r="F3004" s="3">
        <v>45954</v>
      </c>
      <c r="G3004">
        <v>202607</v>
      </c>
      <c r="H3004" t="s">
        <v>79</v>
      </c>
      <c r="I3004" t="s">
        <v>80</v>
      </c>
      <c r="J3004" t="s">
        <v>91</v>
      </c>
      <c r="K3004" t="s">
        <v>78</v>
      </c>
      <c r="L3004" t="s">
        <v>453</v>
      </c>
      <c r="M3004" t="s">
        <v>454</v>
      </c>
      <c r="N3004" t="s">
        <v>563</v>
      </c>
      <c r="O3004" t="s">
        <v>82</v>
      </c>
      <c r="P3004" t="str">
        <f>"4170066093                    "</f>
        <v xml:space="preserve">4170066093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22.36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1.1000000000000001</v>
      </c>
      <c r="BK3004">
        <v>1.5</v>
      </c>
      <c r="BL3004">
        <v>70.959999999999994</v>
      </c>
      <c r="BM3004">
        <v>10.64</v>
      </c>
      <c r="BN3004">
        <v>81.599999999999994</v>
      </c>
      <c r="BO3004">
        <v>81.599999999999994</v>
      </c>
      <c r="BQ3004" t="s">
        <v>564</v>
      </c>
      <c r="BR3004" t="s">
        <v>97</v>
      </c>
      <c r="BS3004" s="3">
        <v>45957</v>
      </c>
      <c r="BT3004" s="4">
        <v>0.4548611111111111</v>
      </c>
      <c r="BU3004" t="s">
        <v>3340</v>
      </c>
      <c r="BV3004" t="s">
        <v>86</v>
      </c>
      <c r="BY3004">
        <v>5510</v>
      </c>
      <c r="CA3004" t="s">
        <v>742</v>
      </c>
      <c r="CC3004" t="s">
        <v>454</v>
      </c>
      <c r="CD3004">
        <v>3610</v>
      </c>
      <c r="CE3004" t="s">
        <v>191</v>
      </c>
      <c r="CF3004" s="3">
        <v>45958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"080068726043"</f>
        <v>080068726043</v>
      </c>
      <c r="F3005" s="3">
        <v>45954</v>
      </c>
      <c r="G3005">
        <v>202607</v>
      </c>
      <c r="H3005" t="s">
        <v>79</v>
      </c>
      <c r="I3005" t="s">
        <v>80</v>
      </c>
      <c r="J3005" t="s">
        <v>91</v>
      </c>
      <c r="K3005" t="s">
        <v>78</v>
      </c>
      <c r="L3005" t="s">
        <v>453</v>
      </c>
      <c r="M3005" t="s">
        <v>454</v>
      </c>
      <c r="N3005" t="s">
        <v>1290</v>
      </c>
      <c r="O3005" t="s">
        <v>82</v>
      </c>
      <c r="P3005" t="str">
        <f>"4170066059                    "</f>
        <v xml:space="preserve">4170066059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22.36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70.959999999999994</v>
      </c>
      <c r="BM3005">
        <v>10.64</v>
      </c>
      <c r="BN3005">
        <v>81.599999999999994</v>
      </c>
      <c r="BO3005">
        <v>81.599999999999994</v>
      </c>
      <c r="BQ3005" t="s">
        <v>1291</v>
      </c>
      <c r="BR3005" t="s">
        <v>97</v>
      </c>
      <c r="BS3005" s="3">
        <v>45957</v>
      </c>
      <c r="BT3005" s="4">
        <v>0.58333333333333337</v>
      </c>
      <c r="BU3005" t="s">
        <v>3360</v>
      </c>
      <c r="BV3005" t="s">
        <v>90</v>
      </c>
      <c r="BW3005" t="s">
        <v>771</v>
      </c>
      <c r="BX3005" t="s">
        <v>2909</v>
      </c>
      <c r="BY3005">
        <v>1200</v>
      </c>
      <c r="CA3005" t="s">
        <v>742</v>
      </c>
      <c r="CC3005" t="s">
        <v>454</v>
      </c>
      <c r="CD3005">
        <v>3610</v>
      </c>
      <c r="CE3005" t="s">
        <v>147</v>
      </c>
      <c r="CF3005" s="3">
        <v>45958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"080068726089"</f>
        <v>080068726089</v>
      </c>
      <c r="F3006" s="3">
        <v>45954</v>
      </c>
      <c r="G3006">
        <v>202607</v>
      </c>
      <c r="H3006" t="s">
        <v>79</v>
      </c>
      <c r="I3006" t="s">
        <v>80</v>
      </c>
      <c r="J3006" t="s">
        <v>91</v>
      </c>
      <c r="K3006" t="s">
        <v>78</v>
      </c>
      <c r="L3006" t="s">
        <v>206</v>
      </c>
      <c r="M3006" t="s">
        <v>207</v>
      </c>
      <c r="N3006" t="s">
        <v>361</v>
      </c>
      <c r="O3006" t="s">
        <v>82</v>
      </c>
      <c r="P3006" t="str">
        <f>"4170066081                    "</f>
        <v xml:space="preserve">4170066081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22.36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70.959999999999994</v>
      </c>
      <c r="BM3006">
        <v>10.64</v>
      </c>
      <c r="BN3006">
        <v>81.599999999999994</v>
      </c>
      <c r="BO3006">
        <v>81.599999999999994</v>
      </c>
      <c r="BQ3006" t="s">
        <v>362</v>
      </c>
      <c r="BR3006" t="s">
        <v>97</v>
      </c>
      <c r="BS3006" s="3">
        <v>45957</v>
      </c>
      <c r="BT3006" s="4">
        <v>0.41805555555555557</v>
      </c>
      <c r="BU3006" t="s">
        <v>3361</v>
      </c>
      <c r="BV3006" t="s">
        <v>86</v>
      </c>
      <c r="BY3006">
        <v>1200</v>
      </c>
      <c r="CA3006" t="s">
        <v>364</v>
      </c>
      <c r="CC3006" t="s">
        <v>207</v>
      </c>
      <c r="CD3006">
        <v>7535</v>
      </c>
      <c r="CE3006" t="s">
        <v>147</v>
      </c>
      <c r="CF3006" s="3">
        <v>45958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"080068726326"</f>
        <v>080068726326</v>
      </c>
      <c r="F3007" s="3">
        <v>45954</v>
      </c>
      <c r="G3007">
        <v>202607</v>
      </c>
      <c r="H3007" t="s">
        <v>79</v>
      </c>
      <c r="I3007" t="s">
        <v>80</v>
      </c>
      <c r="J3007" t="s">
        <v>91</v>
      </c>
      <c r="K3007" t="s">
        <v>78</v>
      </c>
      <c r="L3007" t="s">
        <v>114</v>
      </c>
      <c r="M3007" t="s">
        <v>115</v>
      </c>
      <c r="N3007" t="s">
        <v>3362</v>
      </c>
      <c r="O3007" t="s">
        <v>82</v>
      </c>
      <c r="P3007" t="str">
        <f>"009943879289                  "</f>
        <v xml:space="preserve">009943879289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22.36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70.959999999999994</v>
      </c>
      <c r="BM3007">
        <v>10.64</v>
      </c>
      <c r="BN3007">
        <v>81.599999999999994</v>
      </c>
      <c r="BO3007">
        <v>81.599999999999994</v>
      </c>
      <c r="BQ3007" t="s">
        <v>3363</v>
      </c>
      <c r="BR3007" t="s">
        <v>97</v>
      </c>
      <c r="BS3007" s="3">
        <v>45957</v>
      </c>
      <c r="BT3007" s="4">
        <v>0.54166666666666663</v>
      </c>
      <c r="BU3007" t="s">
        <v>1275</v>
      </c>
      <c r="BV3007" t="s">
        <v>90</v>
      </c>
      <c r="BW3007" t="s">
        <v>2570</v>
      </c>
      <c r="BX3007" t="s">
        <v>2462</v>
      </c>
      <c r="BY3007">
        <v>1200</v>
      </c>
      <c r="CC3007" t="s">
        <v>115</v>
      </c>
      <c r="CD3007">
        <v>5201</v>
      </c>
      <c r="CE3007" t="s">
        <v>147</v>
      </c>
      <c r="CF3007" s="3">
        <v>45958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"080068726409"</f>
        <v>080068726409</v>
      </c>
      <c r="F3008" s="3">
        <v>45954</v>
      </c>
      <c r="G3008">
        <v>202607</v>
      </c>
      <c r="H3008" t="s">
        <v>79</v>
      </c>
      <c r="I3008" t="s">
        <v>80</v>
      </c>
      <c r="J3008" t="s">
        <v>91</v>
      </c>
      <c r="K3008" t="s">
        <v>78</v>
      </c>
      <c r="L3008" t="s">
        <v>108</v>
      </c>
      <c r="M3008" t="s">
        <v>109</v>
      </c>
      <c r="N3008" t="s">
        <v>3364</v>
      </c>
      <c r="O3008" t="s">
        <v>95</v>
      </c>
      <c r="P3008" t="str">
        <f>"4170066078                    "</f>
        <v xml:space="preserve">4170066078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71.790000000000006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2</v>
      </c>
      <c r="BI3008">
        <v>30.2</v>
      </c>
      <c r="BJ3008">
        <v>17.3</v>
      </c>
      <c r="BK3008">
        <v>31</v>
      </c>
      <c r="BL3008">
        <v>233.72</v>
      </c>
      <c r="BM3008">
        <v>35.06</v>
      </c>
      <c r="BN3008">
        <v>268.77999999999997</v>
      </c>
      <c r="BO3008">
        <v>268.77999999999997</v>
      </c>
      <c r="BQ3008" t="s">
        <v>3365</v>
      </c>
      <c r="BR3008" t="s">
        <v>97</v>
      </c>
      <c r="BS3008" s="3">
        <v>45957</v>
      </c>
      <c r="BT3008" s="4">
        <v>0.42986111111111114</v>
      </c>
      <c r="BU3008" t="s">
        <v>3366</v>
      </c>
      <c r="BV3008" t="s">
        <v>86</v>
      </c>
      <c r="BY3008">
        <v>86611.64</v>
      </c>
      <c r="CA3008" t="s">
        <v>1090</v>
      </c>
      <c r="CC3008" t="s">
        <v>109</v>
      </c>
      <c r="CD3008">
        <v>6001</v>
      </c>
      <c r="CE3008" t="s">
        <v>107</v>
      </c>
      <c r="CF3008" s="3">
        <v>45957</v>
      </c>
      <c r="CI3008">
        <v>3</v>
      </c>
      <c r="CJ3008">
        <v>1</v>
      </c>
      <c r="CK3008">
        <v>41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"080068726430"</f>
        <v>080068726430</v>
      </c>
      <c r="F3009" s="3">
        <v>45954</v>
      </c>
      <c r="G3009">
        <v>202607</v>
      </c>
      <c r="H3009" t="s">
        <v>79</v>
      </c>
      <c r="I3009" t="s">
        <v>80</v>
      </c>
      <c r="J3009" t="s">
        <v>91</v>
      </c>
      <c r="K3009" t="s">
        <v>78</v>
      </c>
      <c r="L3009" t="s">
        <v>121</v>
      </c>
      <c r="M3009" t="s">
        <v>122</v>
      </c>
      <c r="N3009" t="s">
        <v>123</v>
      </c>
      <c r="O3009" t="s">
        <v>82</v>
      </c>
      <c r="P3009" t="str">
        <f>"4170066044                    "</f>
        <v xml:space="preserve">4170066044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22.36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70.959999999999994</v>
      </c>
      <c r="BM3009">
        <v>10.64</v>
      </c>
      <c r="BN3009">
        <v>81.599999999999994</v>
      </c>
      <c r="BO3009">
        <v>81.599999999999994</v>
      </c>
      <c r="BQ3009" t="s">
        <v>124</v>
      </c>
      <c r="BR3009" t="s">
        <v>97</v>
      </c>
      <c r="BS3009" s="3">
        <v>45957</v>
      </c>
      <c r="BT3009" s="4">
        <v>0.34097222222222223</v>
      </c>
      <c r="BU3009" t="s">
        <v>3335</v>
      </c>
      <c r="BV3009" t="s">
        <v>86</v>
      </c>
      <c r="BY3009">
        <v>1200</v>
      </c>
      <c r="CA3009" t="s">
        <v>126</v>
      </c>
      <c r="CC3009" t="s">
        <v>122</v>
      </c>
      <c r="CD3009">
        <v>4051</v>
      </c>
      <c r="CE3009" t="s">
        <v>147</v>
      </c>
      <c r="CF3009" s="3">
        <v>45958</v>
      </c>
      <c r="CI3009">
        <v>1</v>
      </c>
      <c r="CJ3009">
        <v>1</v>
      </c>
      <c r="CK3009">
        <v>21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"080068726455"</f>
        <v>080068726455</v>
      </c>
      <c r="F3010" s="3">
        <v>45954</v>
      </c>
      <c r="G3010">
        <v>202607</v>
      </c>
      <c r="H3010" t="s">
        <v>79</v>
      </c>
      <c r="I3010" t="s">
        <v>80</v>
      </c>
      <c r="J3010" t="s">
        <v>91</v>
      </c>
      <c r="K3010" t="s">
        <v>78</v>
      </c>
      <c r="L3010" t="s">
        <v>206</v>
      </c>
      <c r="M3010" t="s">
        <v>207</v>
      </c>
      <c r="N3010" t="s">
        <v>2026</v>
      </c>
      <c r="O3010" t="s">
        <v>82</v>
      </c>
      <c r="P3010" t="str">
        <f>"4170066060                    "</f>
        <v xml:space="preserve">4170066060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22.36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70.959999999999994</v>
      </c>
      <c r="BM3010">
        <v>10.64</v>
      </c>
      <c r="BN3010">
        <v>81.599999999999994</v>
      </c>
      <c r="BO3010">
        <v>81.599999999999994</v>
      </c>
      <c r="BQ3010" t="s">
        <v>2027</v>
      </c>
      <c r="BR3010" t="s">
        <v>97</v>
      </c>
      <c r="BS3010" s="3">
        <v>45957</v>
      </c>
      <c r="BT3010" s="4">
        <v>0.4284722222222222</v>
      </c>
      <c r="BU3010" t="s">
        <v>2542</v>
      </c>
      <c r="BV3010" t="s">
        <v>86</v>
      </c>
      <c r="BY3010">
        <v>1200</v>
      </c>
      <c r="CA3010" t="s">
        <v>2029</v>
      </c>
      <c r="CC3010" t="s">
        <v>207</v>
      </c>
      <c r="CD3010">
        <v>7500</v>
      </c>
      <c r="CE3010" t="s">
        <v>147</v>
      </c>
      <c r="CF3010" s="3">
        <v>45958</v>
      </c>
      <c r="CI3010">
        <v>1</v>
      </c>
      <c r="CJ3010">
        <v>1</v>
      </c>
      <c r="CK3010">
        <v>21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"080068726462"</f>
        <v>080068726462</v>
      </c>
      <c r="F3011" s="3">
        <v>45954</v>
      </c>
      <c r="G3011">
        <v>202607</v>
      </c>
      <c r="H3011" t="s">
        <v>79</v>
      </c>
      <c r="I3011" t="s">
        <v>80</v>
      </c>
      <c r="J3011" t="s">
        <v>91</v>
      </c>
      <c r="K3011" t="s">
        <v>78</v>
      </c>
      <c r="L3011" t="s">
        <v>148</v>
      </c>
      <c r="M3011" t="s">
        <v>149</v>
      </c>
      <c r="N3011" t="s">
        <v>465</v>
      </c>
      <c r="O3011" t="s">
        <v>82</v>
      </c>
      <c r="P3011" t="str">
        <f>"4170066024                    "</f>
        <v xml:space="preserve">4170066024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17.46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3.1</v>
      </c>
      <c r="BJ3011">
        <v>1.5</v>
      </c>
      <c r="BK3011">
        <v>4</v>
      </c>
      <c r="BL3011">
        <v>55.42</v>
      </c>
      <c r="BM3011">
        <v>8.31</v>
      </c>
      <c r="BN3011">
        <v>63.73</v>
      </c>
      <c r="BO3011">
        <v>63.73</v>
      </c>
      <c r="BQ3011" t="s">
        <v>466</v>
      </c>
      <c r="BR3011" t="s">
        <v>97</v>
      </c>
      <c r="BS3011" s="3">
        <v>45957</v>
      </c>
      <c r="BT3011" s="4">
        <v>0.39861111111111114</v>
      </c>
      <c r="BU3011" t="s">
        <v>518</v>
      </c>
      <c r="BV3011" t="s">
        <v>86</v>
      </c>
      <c r="BY3011">
        <v>7726.8</v>
      </c>
      <c r="CA3011" t="s">
        <v>2853</v>
      </c>
      <c r="CC3011" t="s">
        <v>149</v>
      </c>
      <c r="CD3011">
        <v>2094</v>
      </c>
      <c r="CE3011" t="s">
        <v>191</v>
      </c>
      <c r="CF3011" s="3">
        <v>45958</v>
      </c>
      <c r="CI3011">
        <v>1</v>
      </c>
      <c r="CJ3011">
        <v>1</v>
      </c>
      <c r="CK3011">
        <v>22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"080068726485"</f>
        <v>080068726485</v>
      </c>
      <c r="F3012" s="3">
        <v>45954</v>
      </c>
      <c r="G3012">
        <v>202607</v>
      </c>
      <c r="H3012" t="s">
        <v>79</v>
      </c>
      <c r="I3012" t="s">
        <v>80</v>
      </c>
      <c r="J3012" t="s">
        <v>91</v>
      </c>
      <c r="K3012" t="s">
        <v>78</v>
      </c>
      <c r="L3012" t="s">
        <v>218</v>
      </c>
      <c r="M3012" t="s">
        <v>219</v>
      </c>
      <c r="N3012" t="s">
        <v>682</v>
      </c>
      <c r="O3012" t="s">
        <v>226</v>
      </c>
      <c r="P3012" t="str">
        <f>"4170066089                    "</f>
        <v xml:space="preserve">4170066089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17.47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3.8</v>
      </c>
      <c r="BJ3012">
        <v>3.8</v>
      </c>
      <c r="BK3012">
        <v>4</v>
      </c>
      <c r="BL3012">
        <v>55.44</v>
      </c>
      <c r="BM3012">
        <v>8.32</v>
      </c>
      <c r="BN3012">
        <v>63.76</v>
      </c>
      <c r="BO3012">
        <v>63.76</v>
      </c>
      <c r="BQ3012" t="s">
        <v>683</v>
      </c>
      <c r="BR3012" t="s">
        <v>97</v>
      </c>
      <c r="BS3012" s="3">
        <v>45957</v>
      </c>
      <c r="BT3012" s="4">
        <v>0.33333333333333331</v>
      </c>
      <c r="BU3012" t="s">
        <v>3367</v>
      </c>
      <c r="BV3012" t="s">
        <v>86</v>
      </c>
      <c r="BY3012">
        <v>19012.7</v>
      </c>
      <c r="CA3012" t="s">
        <v>1434</v>
      </c>
      <c r="CC3012" t="s">
        <v>219</v>
      </c>
      <c r="CD3012">
        <v>1559</v>
      </c>
      <c r="CE3012" t="s">
        <v>191</v>
      </c>
      <c r="CF3012" s="3">
        <v>45958</v>
      </c>
      <c r="CI3012">
        <v>1</v>
      </c>
      <c r="CJ3012">
        <v>1</v>
      </c>
      <c r="CK3012">
        <v>32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"080068726492"</f>
        <v>080068726492</v>
      </c>
      <c r="F3013" s="3">
        <v>45954</v>
      </c>
      <c r="G3013">
        <v>202607</v>
      </c>
      <c r="H3013" t="s">
        <v>79</v>
      </c>
      <c r="I3013" t="s">
        <v>80</v>
      </c>
      <c r="J3013" t="s">
        <v>91</v>
      </c>
      <c r="K3013" t="s">
        <v>78</v>
      </c>
      <c r="L3013" t="s">
        <v>206</v>
      </c>
      <c r="M3013" t="s">
        <v>207</v>
      </c>
      <c r="N3013" t="s">
        <v>3368</v>
      </c>
      <c r="O3013" t="s">
        <v>82</v>
      </c>
      <c r="P3013" t="str">
        <f>"4170066014                    "</f>
        <v xml:space="preserve">4170066014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22.36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70.959999999999994</v>
      </c>
      <c r="BM3013">
        <v>10.64</v>
      </c>
      <c r="BN3013">
        <v>81.599999999999994</v>
      </c>
      <c r="BO3013">
        <v>81.599999999999994</v>
      </c>
      <c r="BQ3013" t="s">
        <v>3369</v>
      </c>
      <c r="BR3013" t="s">
        <v>97</v>
      </c>
      <c r="BS3013" s="3">
        <v>45957</v>
      </c>
      <c r="BT3013" s="4">
        <v>0.48749999999999999</v>
      </c>
      <c r="BU3013" t="s">
        <v>3370</v>
      </c>
      <c r="BV3013" t="s">
        <v>90</v>
      </c>
      <c r="BW3013" t="s">
        <v>771</v>
      </c>
      <c r="BX3013" t="s">
        <v>2043</v>
      </c>
      <c r="BY3013">
        <v>1200</v>
      </c>
      <c r="CA3013" t="s">
        <v>480</v>
      </c>
      <c r="CC3013" t="s">
        <v>207</v>
      </c>
      <c r="CD3013">
        <v>7460</v>
      </c>
      <c r="CE3013" t="s">
        <v>147</v>
      </c>
      <c r="CF3013" s="3">
        <v>45958</v>
      </c>
      <c r="CI3013">
        <v>1</v>
      </c>
      <c r="CJ3013">
        <v>1</v>
      </c>
      <c r="CK3013">
        <v>21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"080068726518"</f>
        <v>080068726518</v>
      </c>
      <c r="F3014" s="3">
        <v>45954</v>
      </c>
      <c r="G3014">
        <v>202607</v>
      </c>
      <c r="H3014" t="s">
        <v>79</v>
      </c>
      <c r="I3014" t="s">
        <v>80</v>
      </c>
      <c r="J3014" t="s">
        <v>91</v>
      </c>
      <c r="K3014" t="s">
        <v>78</v>
      </c>
      <c r="L3014" t="s">
        <v>114</v>
      </c>
      <c r="M3014" t="s">
        <v>115</v>
      </c>
      <c r="N3014" t="s">
        <v>881</v>
      </c>
      <c r="O3014" t="s">
        <v>82</v>
      </c>
      <c r="P3014" t="str">
        <f>"4170066095                    "</f>
        <v xml:space="preserve">4170066095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44.69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4</v>
      </c>
      <c r="BJ3014">
        <v>2.9</v>
      </c>
      <c r="BK3014">
        <v>4</v>
      </c>
      <c r="BL3014">
        <v>141.85</v>
      </c>
      <c r="BM3014">
        <v>21.28</v>
      </c>
      <c r="BN3014">
        <v>163.13</v>
      </c>
      <c r="BO3014">
        <v>163.13</v>
      </c>
      <c r="BQ3014" t="s">
        <v>882</v>
      </c>
      <c r="BR3014" t="s">
        <v>97</v>
      </c>
      <c r="BS3014" s="3">
        <v>45957</v>
      </c>
      <c r="BT3014" s="4">
        <v>0.43194444444444446</v>
      </c>
      <c r="BU3014" t="s">
        <v>3371</v>
      </c>
      <c r="BV3014" t="s">
        <v>86</v>
      </c>
      <c r="BY3014">
        <v>14336</v>
      </c>
      <c r="CA3014" t="s">
        <v>749</v>
      </c>
      <c r="CC3014" t="s">
        <v>115</v>
      </c>
      <c r="CD3014">
        <v>5201</v>
      </c>
      <c r="CE3014" t="s">
        <v>107</v>
      </c>
      <c r="CF3014" s="3">
        <v>45958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"080068726523"</f>
        <v>080068726523</v>
      </c>
      <c r="F3015" s="3">
        <v>45954</v>
      </c>
      <c r="G3015">
        <v>202607</v>
      </c>
      <c r="H3015" t="s">
        <v>79</v>
      </c>
      <c r="I3015" t="s">
        <v>80</v>
      </c>
      <c r="J3015" t="s">
        <v>91</v>
      </c>
      <c r="K3015" t="s">
        <v>78</v>
      </c>
      <c r="L3015" t="s">
        <v>168</v>
      </c>
      <c r="M3015" t="s">
        <v>169</v>
      </c>
      <c r="N3015" t="s">
        <v>3372</v>
      </c>
      <c r="O3015" t="s">
        <v>82</v>
      </c>
      <c r="P3015" t="str">
        <f>"4170066085                    "</f>
        <v xml:space="preserve">4170066085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22.36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70.959999999999994</v>
      </c>
      <c r="BM3015">
        <v>10.64</v>
      </c>
      <c r="BN3015">
        <v>81.599999999999994</v>
      </c>
      <c r="BO3015">
        <v>81.599999999999994</v>
      </c>
      <c r="BQ3015" t="s">
        <v>3373</v>
      </c>
      <c r="BR3015" t="s">
        <v>97</v>
      </c>
      <c r="BS3015" s="3">
        <v>45957</v>
      </c>
      <c r="BT3015" s="4">
        <v>0.43611111111111112</v>
      </c>
      <c r="BU3015" t="s">
        <v>3374</v>
      </c>
      <c r="BV3015" t="s">
        <v>86</v>
      </c>
      <c r="BY3015">
        <v>1200</v>
      </c>
      <c r="CA3015">
        <v>9208135296085</v>
      </c>
      <c r="CC3015" t="s">
        <v>169</v>
      </c>
      <c r="CD3015" s="5" t="s">
        <v>173</v>
      </c>
      <c r="CE3015" t="s">
        <v>147</v>
      </c>
      <c r="CF3015" s="3">
        <v>45957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"080068726546"</f>
        <v>080068726546</v>
      </c>
      <c r="F3016" s="3">
        <v>45954</v>
      </c>
      <c r="G3016">
        <v>202607</v>
      </c>
      <c r="H3016" t="s">
        <v>79</v>
      </c>
      <c r="I3016" t="s">
        <v>80</v>
      </c>
      <c r="J3016" t="s">
        <v>91</v>
      </c>
      <c r="K3016" t="s">
        <v>78</v>
      </c>
      <c r="L3016" t="s">
        <v>79</v>
      </c>
      <c r="M3016" t="s">
        <v>80</v>
      </c>
      <c r="N3016" t="s">
        <v>163</v>
      </c>
      <c r="O3016" t="s">
        <v>82</v>
      </c>
      <c r="P3016" t="str">
        <f>"4170066065                    "</f>
        <v xml:space="preserve">4170066065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17.46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2.9</v>
      </c>
      <c r="BJ3016">
        <v>0.6</v>
      </c>
      <c r="BK3016">
        <v>3</v>
      </c>
      <c r="BL3016">
        <v>55.42</v>
      </c>
      <c r="BM3016">
        <v>8.31</v>
      </c>
      <c r="BN3016">
        <v>63.73</v>
      </c>
      <c r="BO3016">
        <v>63.73</v>
      </c>
      <c r="BQ3016" t="s">
        <v>164</v>
      </c>
      <c r="BR3016" t="s">
        <v>97</v>
      </c>
      <c r="BS3016" s="3">
        <v>45957</v>
      </c>
      <c r="BT3016" s="4">
        <v>0.31805555555555554</v>
      </c>
      <c r="BU3016" t="s">
        <v>165</v>
      </c>
      <c r="BV3016" t="s">
        <v>86</v>
      </c>
      <c r="BY3016">
        <v>2853.6</v>
      </c>
      <c r="CA3016" t="s">
        <v>166</v>
      </c>
      <c r="CC3016" t="s">
        <v>80</v>
      </c>
      <c r="CD3016">
        <v>1600</v>
      </c>
      <c r="CE3016" t="s">
        <v>191</v>
      </c>
      <c r="CF3016" s="3">
        <v>45958</v>
      </c>
      <c r="CI3016">
        <v>1</v>
      </c>
      <c r="CJ3016">
        <v>1</v>
      </c>
      <c r="CK3016">
        <v>22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"080068726762"</f>
        <v>080068726762</v>
      </c>
      <c r="F3017" s="3">
        <v>45954</v>
      </c>
      <c r="G3017">
        <v>202607</v>
      </c>
      <c r="H3017" t="s">
        <v>79</v>
      </c>
      <c r="I3017" t="s">
        <v>80</v>
      </c>
      <c r="J3017" t="s">
        <v>91</v>
      </c>
      <c r="K3017" t="s">
        <v>78</v>
      </c>
      <c r="L3017" t="s">
        <v>108</v>
      </c>
      <c r="M3017" t="s">
        <v>109</v>
      </c>
      <c r="N3017" t="s">
        <v>3375</v>
      </c>
      <c r="O3017" t="s">
        <v>82</v>
      </c>
      <c r="P3017" t="str">
        <f>"4170066097                    "</f>
        <v xml:space="preserve">4170066097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22.36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1.1000000000000001</v>
      </c>
      <c r="BK3017">
        <v>1.5</v>
      </c>
      <c r="BL3017">
        <v>70.959999999999994</v>
      </c>
      <c r="BM3017">
        <v>10.64</v>
      </c>
      <c r="BN3017">
        <v>81.599999999999994</v>
      </c>
      <c r="BO3017">
        <v>81.599999999999994</v>
      </c>
      <c r="BQ3017" t="s">
        <v>3376</v>
      </c>
      <c r="BR3017" t="s">
        <v>97</v>
      </c>
      <c r="BS3017" s="3">
        <v>45957</v>
      </c>
      <c r="BT3017" s="4">
        <v>0.39930555555555558</v>
      </c>
      <c r="BU3017" t="s">
        <v>3377</v>
      </c>
      <c r="BV3017" t="s">
        <v>86</v>
      </c>
      <c r="BY3017">
        <v>5320</v>
      </c>
      <c r="CA3017" t="s">
        <v>1070</v>
      </c>
      <c r="CC3017" t="s">
        <v>109</v>
      </c>
      <c r="CD3017">
        <v>6045</v>
      </c>
      <c r="CE3017" t="s">
        <v>191</v>
      </c>
      <c r="CF3017" s="3">
        <v>45957</v>
      </c>
      <c r="CI3017">
        <v>1</v>
      </c>
      <c r="CJ3017">
        <v>1</v>
      </c>
      <c r="CK3017">
        <v>21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"080068726798"</f>
        <v>080068726798</v>
      </c>
      <c r="F3018" s="3">
        <v>45954</v>
      </c>
      <c r="G3018">
        <v>202607</v>
      </c>
      <c r="H3018" t="s">
        <v>79</v>
      </c>
      <c r="I3018" t="s">
        <v>80</v>
      </c>
      <c r="J3018" t="s">
        <v>91</v>
      </c>
      <c r="K3018" t="s">
        <v>78</v>
      </c>
      <c r="L3018" t="s">
        <v>121</v>
      </c>
      <c r="M3018" t="s">
        <v>122</v>
      </c>
      <c r="N3018" t="s">
        <v>154</v>
      </c>
      <c r="O3018" t="s">
        <v>82</v>
      </c>
      <c r="P3018" t="str">
        <f>"4170065973                    "</f>
        <v xml:space="preserve">4170065973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22.36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70.959999999999994</v>
      </c>
      <c r="BM3018">
        <v>10.64</v>
      </c>
      <c r="BN3018">
        <v>81.599999999999994</v>
      </c>
      <c r="BO3018">
        <v>81.599999999999994</v>
      </c>
      <c r="BQ3018" t="s">
        <v>155</v>
      </c>
      <c r="BR3018" t="s">
        <v>97</v>
      </c>
      <c r="BS3018" s="3">
        <v>45957</v>
      </c>
      <c r="BT3018" s="4">
        <v>0.38055555555555554</v>
      </c>
      <c r="BU3018" t="s">
        <v>156</v>
      </c>
      <c r="BV3018" t="s">
        <v>86</v>
      </c>
      <c r="BY3018">
        <v>1200</v>
      </c>
      <c r="CA3018" t="s">
        <v>157</v>
      </c>
      <c r="CC3018" t="s">
        <v>122</v>
      </c>
      <c r="CD3018">
        <v>4052</v>
      </c>
      <c r="CE3018" t="s">
        <v>147</v>
      </c>
      <c r="CF3018" s="3">
        <v>45958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"080068726805"</f>
        <v>080068726805</v>
      </c>
      <c r="F3019" s="3">
        <v>45954</v>
      </c>
      <c r="G3019">
        <v>202607</v>
      </c>
      <c r="H3019" t="s">
        <v>79</v>
      </c>
      <c r="I3019" t="s">
        <v>80</v>
      </c>
      <c r="J3019" t="s">
        <v>91</v>
      </c>
      <c r="K3019" t="s">
        <v>78</v>
      </c>
      <c r="L3019" t="s">
        <v>322</v>
      </c>
      <c r="M3019" t="s">
        <v>322</v>
      </c>
      <c r="N3019" t="s">
        <v>481</v>
      </c>
      <c r="O3019" t="s">
        <v>82</v>
      </c>
      <c r="P3019" t="str">
        <f>"4170066115                    "</f>
        <v xml:space="preserve">4170066115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268.24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2</v>
      </c>
      <c r="BI3019">
        <v>8</v>
      </c>
      <c r="BJ3019">
        <v>13.4</v>
      </c>
      <c r="BK3019">
        <v>13.5</v>
      </c>
      <c r="BL3019">
        <v>851.38</v>
      </c>
      <c r="BM3019">
        <v>127.71</v>
      </c>
      <c r="BN3019">
        <v>979.09</v>
      </c>
      <c r="BO3019">
        <v>979.09</v>
      </c>
      <c r="BQ3019" t="s">
        <v>482</v>
      </c>
      <c r="BR3019" t="s">
        <v>97</v>
      </c>
      <c r="BS3019" s="3">
        <v>45957</v>
      </c>
      <c r="BT3019" s="4">
        <v>0.46527777777777779</v>
      </c>
      <c r="BU3019" t="s">
        <v>3378</v>
      </c>
      <c r="BV3019" t="s">
        <v>86</v>
      </c>
      <c r="BY3019">
        <v>67200</v>
      </c>
      <c r="CA3019" t="s">
        <v>1637</v>
      </c>
      <c r="CC3019" t="s">
        <v>322</v>
      </c>
      <c r="CD3019">
        <v>7646</v>
      </c>
      <c r="CE3019" t="s">
        <v>191</v>
      </c>
      <c r="CF3019" s="3">
        <v>45958</v>
      </c>
      <c r="CI3019">
        <v>1</v>
      </c>
      <c r="CJ3019">
        <v>1</v>
      </c>
      <c r="CK3019">
        <v>23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"080068726819"</f>
        <v>080068726819</v>
      </c>
      <c r="F3020" s="3">
        <v>45954</v>
      </c>
      <c r="G3020">
        <v>202607</v>
      </c>
      <c r="H3020" t="s">
        <v>79</v>
      </c>
      <c r="I3020" t="s">
        <v>80</v>
      </c>
      <c r="J3020" t="s">
        <v>91</v>
      </c>
      <c r="K3020" t="s">
        <v>78</v>
      </c>
      <c r="L3020" t="s">
        <v>985</v>
      </c>
      <c r="M3020" t="s">
        <v>986</v>
      </c>
      <c r="N3020" t="s">
        <v>987</v>
      </c>
      <c r="O3020" t="s">
        <v>82</v>
      </c>
      <c r="P3020" t="str">
        <f>"4170065961                    "</f>
        <v xml:space="preserve">4170065961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22.36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70.959999999999994</v>
      </c>
      <c r="BM3020">
        <v>10.64</v>
      </c>
      <c r="BN3020">
        <v>81.599999999999994</v>
      </c>
      <c r="BO3020">
        <v>81.599999999999994</v>
      </c>
      <c r="BQ3020" t="s">
        <v>988</v>
      </c>
      <c r="BR3020" t="s">
        <v>97</v>
      </c>
      <c r="BS3020" s="3">
        <v>45957</v>
      </c>
      <c r="BT3020" s="4">
        <v>0.41666666666666669</v>
      </c>
      <c r="BU3020" t="s">
        <v>3379</v>
      </c>
      <c r="BV3020" t="s">
        <v>86</v>
      </c>
      <c r="BY3020">
        <v>1200</v>
      </c>
      <c r="CA3020" t="s">
        <v>146</v>
      </c>
      <c r="CC3020" t="s">
        <v>986</v>
      </c>
      <c r="CD3020">
        <v>7600</v>
      </c>
      <c r="CE3020" t="s">
        <v>147</v>
      </c>
      <c r="CF3020" s="3">
        <v>45958</v>
      </c>
      <c r="CI3020">
        <v>1</v>
      </c>
      <c r="CJ3020">
        <v>1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"080068726847"</f>
        <v>080068726847</v>
      </c>
      <c r="F3021" s="3">
        <v>45954</v>
      </c>
      <c r="G3021">
        <v>202607</v>
      </c>
      <c r="H3021" t="s">
        <v>79</v>
      </c>
      <c r="I3021" t="s">
        <v>80</v>
      </c>
      <c r="J3021" t="s">
        <v>91</v>
      </c>
      <c r="K3021" t="s">
        <v>78</v>
      </c>
      <c r="L3021" t="s">
        <v>108</v>
      </c>
      <c r="M3021" t="s">
        <v>109</v>
      </c>
      <c r="N3021" t="s">
        <v>2980</v>
      </c>
      <c r="O3021" t="s">
        <v>95</v>
      </c>
      <c r="P3021" t="str">
        <f>"4170066067                    "</f>
        <v xml:space="preserve">4170066067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43.23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9.6999999999999993</v>
      </c>
      <c r="BJ3021">
        <v>5.2</v>
      </c>
      <c r="BK3021">
        <v>10</v>
      </c>
      <c r="BL3021">
        <v>143.08000000000001</v>
      </c>
      <c r="BM3021">
        <v>21.46</v>
      </c>
      <c r="BN3021">
        <v>164.54</v>
      </c>
      <c r="BO3021">
        <v>164.54</v>
      </c>
      <c r="BQ3021" t="s">
        <v>2981</v>
      </c>
      <c r="BR3021" t="s">
        <v>97</v>
      </c>
      <c r="BS3021" s="3">
        <v>45958</v>
      </c>
      <c r="BT3021" s="4">
        <v>0.38750000000000001</v>
      </c>
      <c r="BU3021" t="s">
        <v>3380</v>
      </c>
      <c r="BV3021" t="s">
        <v>86</v>
      </c>
      <c r="BY3021">
        <v>26051.16</v>
      </c>
      <c r="CA3021" t="s">
        <v>2882</v>
      </c>
      <c r="CC3021" t="s">
        <v>109</v>
      </c>
      <c r="CD3021">
        <v>6001</v>
      </c>
      <c r="CE3021" t="s">
        <v>931</v>
      </c>
      <c r="CF3021" s="3">
        <v>45958</v>
      </c>
      <c r="CI3021">
        <v>3</v>
      </c>
      <c r="CJ3021">
        <v>2</v>
      </c>
      <c r="CK3021">
        <v>41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"080068726881"</f>
        <v>080068726881</v>
      </c>
      <c r="F3022" s="3">
        <v>45954</v>
      </c>
      <c r="G3022">
        <v>202607</v>
      </c>
      <c r="H3022" t="s">
        <v>79</v>
      </c>
      <c r="I3022" t="s">
        <v>80</v>
      </c>
      <c r="J3022" t="s">
        <v>91</v>
      </c>
      <c r="K3022" t="s">
        <v>78</v>
      </c>
      <c r="L3022" t="s">
        <v>884</v>
      </c>
      <c r="M3022" t="s">
        <v>885</v>
      </c>
      <c r="N3022" t="s">
        <v>886</v>
      </c>
      <c r="O3022" t="s">
        <v>82</v>
      </c>
      <c r="P3022" t="str">
        <f>"4170066079                    "</f>
        <v xml:space="preserve">4170066079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72.650000000000006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2.9</v>
      </c>
      <c r="BJ3022">
        <v>3.2</v>
      </c>
      <c r="BK3022">
        <v>3.5</v>
      </c>
      <c r="BL3022">
        <v>230.59</v>
      </c>
      <c r="BM3022">
        <v>34.590000000000003</v>
      </c>
      <c r="BN3022">
        <v>265.18</v>
      </c>
      <c r="BO3022">
        <v>265.18</v>
      </c>
      <c r="BQ3022" t="s">
        <v>887</v>
      </c>
      <c r="BR3022" t="s">
        <v>97</v>
      </c>
      <c r="BS3022" s="3">
        <v>45957</v>
      </c>
      <c r="BT3022" s="4">
        <v>0.35416666666666669</v>
      </c>
      <c r="BU3022" t="s">
        <v>1676</v>
      </c>
      <c r="BV3022" t="s">
        <v>86</v>
      </c>
      <c r="BY3022">
        <v>16035.53</v>
      </c>
      <c r="CC3022" t="s">
        <v>885</v>
      </c>
      <c r="CD3022">
        <v>2740</v>
      </c>
      <c r="CE3022" t="s">
        <v>191</v>
      </c>
      <c r="CF3022" s="3">
        <v>45958</v>
      </c>
      <c r="CI3022">
        <v>1</v>
      </c>
      <c r="CJ3022">
        <v>1</v>
      </c>
      <c r="CK3022">
        <v>23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"080068726917"</f>
        <v>080068726917</v>
      </c>
      <c r="F3023" s="3">
        <v>45954</v>
      </c>
      <c r="G3023">
        <v>202607</v>
      </c>
      <c r="H3023" t="s">
        <v>79</v>
      </c>
      <c r="I3023" t="s">
        <v>80</v>
      </c>
      <c r="J3023" t="s">
        <v>91</v>
      </c>
      <c r="K3023" t="s">
        <v>78</v>
      </c>
      <c r="L3023" t="s">
        <v>79</v>
      </c>
      <c r="M3023" t="s">
        <v>80</v>
      </c>
      <c r="N3023" t="s">
        <v>357</v>
      </c>
      <c r="O3023" t="s">
        <v>82</v>
      </c>
      <c r="P3023" t="str">
        <f>"4170066049                    "</f>
        <v xml:space="preserve">4170066049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17.46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1.8</v>
      </c>
      <c r="BJ3023">
        <v>0.9</v>
      </c>
      <c r="BK3023">
        <v>2</v>
      </c>
      <c r="BL3023">
        <v>55.42</v>
      </c>
      <c r="BM3023">
        <v>8.31</v>
      </c>
      <c r="BN3023">
        <v>63.73</v>
      </c>
      <c r="BO3023">
        <v>63.73</v>
      </c>
      <c r="BQ3023" t="s">
        <v>358</v>
      </c>
      <c r="BR3023" t="s">
        <v>97</v>
      </c>
      <c r="BS3023" s="3">
        <v>45959</v>
      </c>
      <c r="BT3023" s="4">
        <v>0.53472222222222221</v>
      </c>
      <c r="BU3023" t="s">
        <v>1702</v>
      </c>
      <c r="BV3023" t="s">
        <v>90</v>
      </c>
      <c r="BW3023" t="s">
        <v>771</v>
      </c>
      <c r="BX3023" t="s">
        <v>3381</v>
      </c>
      <c r="BY3023">
        <v>4702.3900000000003</v>
      </c>
      <c r="CA3023" t="s">
        <v>360</v>
      </c>
      <c r="CC3023" t="s">
        <v>80</v>
      </c>
      <c r="CD3023">
        <v>1645</v>
      </c>
      <c r="CE3023" t="s">
        <v>191</v>
      </c>
      <c r="CF3023" s="3">
        <v>45960</v>
      </c>
      <c r="CI3023">
        <v>1</v>
      </c>
      <c r="CJ3023">
        <v>3</v>
      </c>
      <c r="CK3023">
        <v>22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"080068726944"</f>
        <v>080068726944</v>
      </c>
      <c r="F3024" s="3">
        <v>45954</v>
      </c>
      <c r="G3024">
        <v>202607</v>
      </c>
      <c r="H3024" t="s">
        <v>79</v>
      </c>
      <c r="I3024" t="s">
        <v>80</v>
      </c>
      <c r="J3024" t="s">
        <v>91</v>
      </c>
      <c r="K3024" t="s">
        <v>78</v>
      </c>
      <c r="L3024" t="s">
        <v>148</v>
      </c>
      <c r="M3024" t="s">
        <v>149</v>
      </c>
      <c r="N3024" t="s">
        <v>465</v>
      </c>
      <c r="O3024" t="s">
        <v>82</v>
      </c>
      <c r="P3024" t="str">
        <f>"4170065959                    "</f>
        <v xml:space="preserve">4170065959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17.46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1.5</v>
      </c>
      <c r="BJ3024">
        <v>0.8</v>
      </c>
      <c r="BK3024">
        <v>2</v>
      </c>
      <c r="BL3024">
        <v>55.42</v>
      </c>
      <c r="BM3024">
        <v>8.31</v>
      </c>
      <c r="BN3024">
        <v>63.73</v>
      </c>
      <c r="BO3024">
        <v>63.73</v>
      </c>
      <c r="BQ3024" t="s">
        <v>466</v>
      </c>
      <c r="BR3024" t="s">
        <v>97</v>
      </c>
      <c r="BS3024" s="3">
        <v>45957</v>
      </c>
      <c r="BT3024" s="4">
        <v>0.39861111111111114</v>
      </c>
      <c r="BU3024" t="s">
        <v>518</v>
      </c>
      <c r="BV3024" t="s">
        <v>86</v>
      </c>
      <c r="BY3024">
        <v>4035.15</v>
      </c>
      <c r="CA3024" t="s">
        <v>2853</v>
      </c>
      <c r="CC3024" t="s">
        <v>149</v>
      </c>
      <c r="CD3024">
        <v>2094</v>
      </c>
      <c r="CE3024" t="s">
        <v>191</v>
      </c>
      <c r="CF3024" s="3">
        <v>45958</v>
      </c>
      <c r="CI3024">
        <v>1</v>
      </c>
      <c r="CJ3024">
        <v>1</v>
      </c>
      <c r="CK3024">
        <v>22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"080068726978"</f>
        <v>080068726978</v>
      </c>
      <c r="F3025" s="3">
        <v>45954</v>
      </c>
      <c r="G3025">
        <v>202607</v>
      </c>
      <c r="H3025" t="s">
        <v>79</v>
      </c>
      <c r="I3025" t="s">
        <v>80</v>
      </c>
      <c r="J3025" t="s">
        <v>91</v>
      </c>
      <c r="K3025" t="s">
        <v>78</v>
      </c>
      <c r="L3025" t="s">
        <v>271</v>
      </c>
      <c r="M3025" t="s">
        <v>272</v>
      </c>
      <c r="N3025" t="s">
        <v>2361</v>
      </c>
      <c r="O3025" t="s">
        <v>82</v>
      </c>
      <c r="P3025" t="str">
        <f>"4170066096                    "</f>
        <v xml:space="preserve">4170066096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17.46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1.6</v>
      </c>
      <c r="BK3025">
        <v>2</v>
      </c>
      <c r="BL3025">
        <v>55.42</v>
      </c>
      <c r="BM3025">
        <v>8.31</v>
      </c>
      <c r="BN3025">
        <v>63.73</v>
      </c>
      <c r="BO3025">
        <v>63.73</v>
      </c>
      <c r="BQ3025" t="s">
        <v>2362</v>
      </c>
      <c r="BR3025" t="s">
        <v>97</v>
      </c>
      <c r="BS3025" s="3">
        <v>45957</v>
      </c>
      <c r="BT3025" s="4">
        <v>0.45069444444444445</v>
      </c>
      <c r="BU3025" t="s">
        <v>3382</v>
      </c>
      <c r="BV3025" t="s">
        <v>90</v>
      </c>
      <c r="BW3025" t="s">
        <v>188</v>
      </c>
      <c r="BX3025" t="s">
        <v>1652</v>
      </c>
      <c r="BY3025">
        <v>8115.03</v>
      </c>
      <c r="CA3025" t="s">
        <v>3171</v>
      </c>
      <c r="CC3025" t="s">
        <v>272</v>
      </c>
      <c r="CD3025">
        <v>1401</v>
      </c>
      <c r="CE3025" t="s">
        <v>191</v>
      </c>
      <c r="CF3025" s="3">
        <v>45958</v>
      </c>
      <c r="CI3025">
        <v>1</v>
      </c>
      <c r="CJ3025">
        <v>1</v>
      </c>
      <c r="CK3025">
        <v>22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"080068727006"</f>
        <v>080068727006</v>
      </c>
      <c r="F3026" s="3">
        <v>45954</v>
      </c>
      <c r="G3026">
        <v>202607</v>
      </c>
      <c r="H3026" t="s">
        <v>79</v>
      </c>
      <c r="I3026" t="s">
        <v>80</v>
      </c>
      <c r="J3026" t="s">
        <v>91</v>
      </c>
      <c r="K3026" t="s">
        <v>78</v>
      </c>
      <c r="L3026" t="s">
        <v>453</v>
      </c>
      <c r="M3026" t="s">
        <v>454</v>
      </c>
      <c r="N3026" t="s">
        <v>2219</v>
      </c>
      <c r="O3026" t="s">
        <v>82</v>
      </c>
      <c r="P3026" t="str">
        <f>"4170065649                    "</f>
        <v xml:space="preserve">4170065649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22.36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70.959999999999994</v>
      </c>
      <c r="BM3026">
        <v>10.64</v>
      </c>
      <c r="BN3026">
        <v>81.599999999999994</v>
      </c>
      <c r="BO3026">
        <v>81.599999999999994</v>
      </c>
      <c r="BQ3026" t="s">
        <v>2220</v>
      </c>
      <c r="BR3026" t="s">
        <v>97</v>
      </c>
      <c r="BS3026" s="3">
        <v>45957</v>
      </c>
      <c r="BT3026" s="4">
        <v>0.33888888888888891</v>
      </c>
      <c r="BU3026" t="s">
        <v>2221</v>
      </c>
      <c r="BV3026" t="s">
        <v>86</v>
      </c>
      <c r="BY3026">
        <v>1200</v>
      </c>
      <c r="CA3026" t="s">
        <v>457</v>
      </c>
      <c r="CC3026" t="s">
        <v>454</v>
      </c>
      <c r="CD3026">
        <v>3608</v>
      </c>
      <c r="CE3026" t="s">
        <v>147</v>
      </c>
      <c r="CF3026" s="3">
        <v>45958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"080068727037"</f>
        <v>080068727037</v>
      </c>
      <c r="F3027" s="3">
        <v>45954</v>
      </c>
      <c r="G3027">
        <v>202607</v>
      </c>
      <c r="H3027" t="s">
        <v>79</v>
      </c>
      <c r="I3027" t="s">
        <v>80</v>
      </c>
      <c r="J3027" t="s">
        <v>91</v>
      </c>
      <c r="K3027" t="s">
        <v>78</v>
      </c>
      <c r="L3027" t="s">
        <v>206</v>
      </c>
      <c r="M3027" t="s">
        <v>207</v>
      </c>
      <c r="N3027" t="s">
        <v>3383</v>
      </c>
      <c r="O3027" t="s">
        <v>82</v>
      </c>
      <c r="P3027" t="str">
        <f>"4170066123                    "</f>
        <v xml:space="preserve">4170066123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22.36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70.959999999999994</v>
      </c>
      <c r="BM3027">
        <v>10.64</v>
      </c>
      <c r="BN3027">
        <v>81.599999999999994</v>
      </c>
      <c r="BO3027">
        <v>81.599999999999994</v>
      </c>
      <c r="BQ3027" t="s">
        <v>3384</v>
      </c>
      <c r="BR3027" t="s">
        <v>97</v>
      </c>
      <c r="BS3027" s="3">
        <v>45957</v>
      </c>
      <c r="BT3027" s="4">
        <v>0.42986111111111114</v>
      </c>
      <c r="BU3027" t="s">
        <v>3385</v>
      </c>
      <c r="BV3027" t="s">
        <v>86</v>
      </c>
      <c r="BY3027">
        <v>1200</v>
      </c>
      <c r="CA3027" t="s">
        <v>569</v>
      </c>
      <c r="CC3027" t="s">
        <v>207</v>
      </c>
      <c r="CD3027">
        <v>7945</v>
      </c>
      <c r="CE3027" t="s">
        <v>147</v>
      </c>
      <c r="CF3027" s="3">
        <v>45958</v>
      </c>
      <c r="CI3027">
        <v>1</v>
      </c>
      <c r="CJ3027">
        <v>1</v>
      </c>
      <c r="CK3027">
        <v>21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"080011657919"</f>
        <v>080011657919</v>
      </c>
      <c r="F3028" s="3">
        <v>45954</v>
      </c>
      <c r="G3028">
        <v>202607</v>
      </c>
      <c r="H3028" t="s">
        <v>79</v>
      </c>
      <c r="I3028" t="s">
        <v>80</v>
      </c>
      <c r="J3028" t="s">
        <v>3386</v>
      </c>
      <c r="K3028" t="s">
        <v>78</v>
      </c>
      <c r="L3028" t="s">
        <v>79</v>
      </c>
      <c r="M3028" t="s">
        <v>80</v>
      </c>
      <c r="N3028" t="s">
        <v>81</v>
      </c>
      <c r="O3028" t="s">
        <v>82</v>
      </c>
      <c r="P3028" t="str">
        <f>"ZA10014120949                 "</f>
        <v xml:space="preserve">ZA10014120949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17.46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3</v>
      </c>
      <c r="BJ3028">
        <v>1.2</v>
      </c>
      <c r="BK3028">
        <v>3</v>
      </c>
      <c r="BL3028">
        <v>55.42</v>
      </c>
      <c r="BM3028">
        <v>8.31</v>
      </c>
      <c r="BN3028">
        <v>63.73</v>
      </c>
      <c r="BO3028">
        <v>63.73</v>
      </c>
      <c r="BQ3028" t="s">
        <v>83</v>
      </c>
      <c r="BR3028" t="s">
        <v>3387</v>
      </c>
      <c r="BS3028" s="3">
        <v>45957</v>
      </c>
      <c r="BT3028" s="4">
        <v>0.38819444444444445</v>
      </c>
      <c r="BU3028" t="s">
        <v>3388</v>
      </c>
      <c r="BV3028" t="s">
        <v>86</v>
      </c>
      <c r="BY3028">
        <v>6000</v>
      </c>
      <c r="BZ3028" t="s">
        <v>87</v>
      </c>
      <c r="CA3028" t="s">
        <v>88</v>
      </c>
      <c r="CC3028" t="s">
        <v>80</v>
      </c>
      <c r="CD3028">
        <v>1619</v>
      </c>
      <c r="CE3028" t="s">
        <v>89</v>
      </c>
      <c r="CF3028" s="3">
        <v>45958</v>
      </c>
      <c r="CI3028">
        <v>1</v>
      </c>
      <c r="CJ3028">
        <v>1</v>
      </c>
      <c r="CK3028">
        <v>22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"080068727127"</f>
        <v>080068727127</v>
      </c>
      <c r="F3029" s="3">
        <v>45954</v>
      </c>
      <c r="G3029">
        <v>202607</v>
      </c>
      <c r="H3029" t="s">
        <v>79</v>
      </c>
      <c r="I3029" t="s">
        <v>80</v>
      </c>
      <c r="J3029" t="s">
        <v>91</v>
      </c>
      <c r="K3029" t="s">
        <v>78</v>
      </c>
      <c r="L3029" t="s">
        <v>108</v>
      </c>
      <c r="M3029" t="s">
        <v>109</v>
      </c>
      <c r="N3029" t="s">
        <v>2346</v>
      </c>
      <c r="O3029" t="s">
        <v>82</v>
      </c>
      <c r="P3029" t="str">
        <f>"4170066076                    "</f>
        <v xml:space="preserve">4170066076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22.36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16.739999999999998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2</v>
      </c>
      <c r="BJ3029">
        <v>1.9</v>
      </c>
      <c r="BK3029">
        <v>2</v>
      </c>
      <c r="BL3029">
        <v>87.7</v>
      </c>
      <c r="BM3029">
        <v>13.16</v>
      </c>
      <c r="BN3029">
        <v>100.86</v>
      </c>
      <c r="BO3029">
        <v>100.86</v>
      </c>
      <c r="BQ3029" t="s">
        <v>2347</v>
      </c>
      <c r="BR3029" t="s">
        <v>97</v>
      </c>
      <c r="BS3029" s="3">
        <v>45957</v>
      </c>
      <c r="BT3029" s="4">
        <v>0.41805555555555557</v>
      </c>
      <c r="BU3029" t="s">
        <v>3182</v>
      </c>
      <c r="BV3029" t="s">
        <v>86</v>
      </c>
      <c r="BY3029">
        <v>9576</v>
      </c>
      <c r="BZ3029" t="s">
        <v>30</v>
      </c>
      <c r="CA3029" t="s">
        <v>142</v>
      </c>
      <c r="CC3029" t="s">
        <v>109</v>
      </c>
      <c r="CD3029">
        <v>6000</v>
      </c>
      <c r="CE3029" t="s">
        <v>191</v>
      </c>
      <c r="CF3029" s="3">
        <v>45957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"080068727167"</f>
        <v>080068727167</v>
      </c>
      <c r="F3030" s="3">
        <v>45954</v>
      </c>
      <c r="G3030">
        <v>202607</v>
      </c>
      <c r="H3030" t="s">
        <v>79</v>
      </c>
      <c r="I3030" t="s">
        <v>80</v>
      </c>
      <c r="J3030" t="s">
        <v>91</v>
      </c>
      <c r="K3030" t="s">
        <v>78</v>
      </c>
      <c r="L3030" t="s">
        <v>985</v>
      </c>
      <c r="M3030" t="s">
        <v>986</v>
      </c>
      <c r="N3030" t="s">
        <v>987</v>
      </c>
      <c r="O3030" t="s">
        <v>82</v>
      </c>
      <c r="P3030" t="str">
        <f>"4170066092                    "</f>
        <v xml:space="preserve">4170066092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22.36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1.1000000000000001</v>
      </c>
      <c r="BK3030">
        <v>1.5</v>
      </c>
      <c r="BL3030">
        <v>70.959999999999994</v>
      </c>
      <c r="BM3030">
        <v>10.64</v>
      </c>
      <c r="BN3030">
        <v>81.599999999999994</v>
      </c>
      <c r="BO3030">
        <v>81.599999999999994</v>
      </c>
      <c r="BQ3030" t="s">
        <v>988</v>
      </c>
      <c r="BR3030" t="s">
        <v>97</v>
      </c>
      <c r="BS3030" s="3">
        <v>45957</v>
      </c>
      <c r="BT3030" s="4">
        <v>0.41666666666666669</v>
      </c>
      <c r="BU3030" t="s">
        <v>3389</v>
      </c>
      <c r="BV3030" t="s">
        <v>86</v>
      </c>
      <c r="BY3030">
        <v>5320</v>
      </c>
      <c r="CC3030" t="s">
        <v>986</v>
      </c>
      <c r="CD3030">
        <v>7600</v>
      </c>
      <c r="CE3030" t="s">
        <v>191</v>
      </c>
      <c r="CF3030" s="3">
        <v>45958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"080068727546"</f>
        <v>080068727546</v>
      </c>
      <c r="F3031" s="3">
        <v>45954</v>
      </c>
      <c r="G3031">
        <v>202607</v>
      </c>
      <c r="H3031" t="s">
        <v>79</v>
      </c>
      <c r="I3031" t="s">
        <v>80</v>
      </c>
      <c r="J3031" t="s">
        <v>91</v>
      </c>
      <c r="K3031" t="s">
        <v>78</v>
      </c>
      <c r="L3031" t="s">
        <v>271</v>
      </c>
      <c r="M3031" t="s">
        <v>272</v>
      </c>
      <c r="N3031" t="s">
        <v>3390</v>
      </c>
      <c r="O3031" t="s">
        <v>82</v>
      </c>
      <c r="P3031" t="str">
        <f>"4170066111                    "</f>
        <v xml:space="preserve">4170066111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17.46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55.42</v>
      </c>
      <c r="BM3031">
        <v>8.31</v>
      </c>
      <c r="BN3031">
        <v>63.73</v>
      </c>
      <c r="BO3031">
        <v>63.73</v>
      </c>
      <c r="BQ3031" t="s">
        <v>3391</v>
      </c>
      <c r="BR3031" t="s">
        <v>97</v>
      </c>
      <c r="BS3031" s="3">
        <v>45957</v>
      </c>
      <c r="BT3031" s="4">
        <v>0.39930555555555558</v>
      </c>
      <c r="BU3031" t="s">
        <v>3392</v>
      </c>
      <c r="BV3031" t="s">
        <v>86</v>
      </c>
      <c r="BY3031">
        <v>1200</v>
      </c>
      <c r="CA3031" t="s">
        <v>661</v>
      </c>
      <c r="CC3031" t="s">
        <v>272</v>
      </c>
      <c r="CD3031">
        <v>1428</v>
      </c>
      <c r="CE3031" t="s">
        <v>147</v>
      </c>
      <c r="CF3031" s="3">
        <v>45957</v>
      </c>
      <c r="CI3031">
        <v>1</v>
      </c>
      <c r="CJ3031">
        <v>1</v>
      </c>
      <c r="CK3031">
        <v>22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"080068727576"</f>
        <v>080068727576</v>
      </c>
      <c r="F3032" s="3">
        <v>45954</v>
      </c>
      <c r="G3032">
        <v>202607</v>
      </c>
      <c r="H3032" t="s">
        <v>79</v>
      </c>
      <c r="I3032" t="s">
        <v>80</v>
      </c>
      <c r="J3032" t="s">
        <v>91</v>
      </c>
      <c r="K3032" t="s">
        <v>78</v>
      </c>
      <c r="L3032" t="s">
        <v>1312</v>
      </c>
      <c r="M3032" t="s">
        <v>1313</v>
      </c>
      <c r="N3032" t="s">
        <v>1314</v>
      </c>
      <c r="O3032" t="s">
        <v>82</v>
      </c>
      <c r="P3032" t="str">
        <f>"4170066116                    "</f>
        <v xml:space="preserve">4170066116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31.44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99.79</v>
      </c>
      <c r="BM3032">
        <v>14.97</v>
      </c>
      <c r="BN3032">
        <v>114.76</v>
      </c>
      <c r="BO3032">
        <v>114.76</v>
      </c>
      <c r="BQ3032" t="s">
        <v>1315</v>
      </c>
      <c r="BR3032" t="s">
        <v>97</v>
      </c>
      <c r="BS3032" s="3">
        <v>45957</v>
      </c>
      <c r="BT3032" s="4">
        <v>0.43194444444444446</v>
      </c>
      <c r="BU3032" t="s">
        <v>2713</v>
      </c>
      <c r="BV3032" t="s">
        <v>86</v>
      </c>
      <c r="BY3032">
        <v>1200</v>
      </c>
      <c r="CA3032" t="s">
        <v>2714</v>
      </c>
      <c r="CC3032" t="s">
        <v>1313</v>
      </c>
      <c r="CD3032">
        <v>2410</v>
      </c>
      <c r="CE3032" t="s">
        <v>147</v>
      </c>
      <c r="CF3032" s="3">
        <v>45958</v>
      </c>
      <c r="CI3032">
        <v>1</v>
      </c>
      <c r="CJ3032">
        <v>1</v>
      </c>
      <c r="CK3032">
        <v>24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"080068727597"</f>
        <v>080068727597</v>
      </c>
      <c r="F3033" s="3">
        <v>45954</v>
      </c>
      <c r="G3033">
        <v>202607</v>
      </c>
      <c r="H3033" t="s">
        <v>79</v>
      </c>
      <c r="I3033" t="s">
        <v>80</v>
      </c>
      <c r="J3033" t="s">
        <v>91</v>
      </c>
      <c r="K3033" t="s">
        <v>78</v>
      </c>
      <c r="L3033" t="s">
        <v>453</v>
      </c>
      <c r="M3033" t="s">
        <v>454</v>
      </c>
      <c r="N3033" t="s">
        <v>563</v>
      </c>
      <c r="O3033" t="s">
        <v>82</v>
      </c>
      <c r="P3033" t="str">
        <f>"4170066108                    "</f>
        <v xml:space="preserve">4170066108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22.36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70.959999999999994</v>
      </c>
      <c r="BM3033">
        <v>10.64</v>
      </c>
      <c r="BN3033">
        <v>81.599999999999994</v>
      </c>
      <c r="BO3033">
        <v>81.599999999999994</v>
      </c>
      <c r="BQ3033" t="s">
        <v>564</v>
      </c>
      <c r="BR3033" t="s">
        <v>97</v>
      </c>
      <c r="BS3033" s="3">
        <v>45957</v>
      </c>
      <c r="BT3033" s="4">
        <v>0.4548611111111111</v>
      </c>
      <c r="BU3033" t="s">
        <v>3340</v>
      </c>
      <c r="BV3033" t="s">
        <v>86</v>
      </c>
      <c r="BY3033">
        <v>1200</v>
      </c>
      <c r="CA3033" t="s">
        <v>742</v>
      </c>
      <c r="CC3033" t="s">
        <v>454</v>
      </c>
      <c r="CD3033">
        <v>3610</v>
      </c>
      <c r="CE3033" t="s">
        <v>147</v>
      </c>
      <c r="CF3033" s="3">
        <v>45958</v>
      </c>
      <c r="CI3033">
        <v>1</v>
      </c>
      <c r="CJ3033">
        <v>1</v>
      </c>
      <c r="CK3033">
        <v>21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"080068727619"</f>
        <v>080068727619</v>
      </c>
      <c r="F3034" s="3">
        <v>45954</v>
      </c>
      <c r="G3034">
        <v>202607</v>
      </c>
      <c r="H3034" t="s">
        <v>79</v>
      </c>
      <c r="I3034" t="s">
        <v>80</v>
      </c>
      <c r="J3034" t="s">
        <v>91</v>
      </c>
      <c r="K3034" t="s">
        <v>78</v>
      </c>
      <c r="L3034" t="s">
        <v>223</v>
      </c>
      <c r="M3034" t="s">
        <v>224</v>
      </c>
      <c r="N3034" t="s">
        <v>225</v>
      </c>
      <c r="O3034" t="s">
        <v>82</v>
      </c>
      <c r="P3034" t="str">
        <f>"4170066127                    "</f>
        <v xml:space="preserve">4170066127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17.46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2</v>
      </c>
      <c r="BJ3034">
        <v>1.8</v>
      </c>
      <c r="BK3034">
        <v>2</v>
      </c>
      <c r="BL3034">
        <v>55.42</v>
      </c>
      <c r="BM3034">
        <v>8.31</v>
      </c>
      <c r="BN3034">
        <v>63.73</v>
      </c>
      <c r="BO3034">
        <v>63.73</v>
      </c>
      <c r="BQ3034" t="s">
        <v>227</v>
      </c>
      <c r="BR3034" t="s">
        <v>97</v>
      </c>
      <c r="BS3034" s="3">
        <v>45957</v>
      </c>
      <c r="BT3034" s="4">
        <v>0.36458333333333331</v>
      </c>
      <c r="BU3034" t="s">
        <v>3080</v>
      </c>
      <c r="BV3034" t="s">
        <v>86</v>
      </c>
      <c r="BY3034">
        <v>8816</v>
      </c>
      <c r="CA3034" t="s">
        <v>508</v>
      </c>
      <c r="CC3034" t="s">
        <v>224</v>
      </c>
      <c r="CD3034">
        <v>1459</v>
      </c>
      <c r="CE3034" t="s">
        <v>191</v>
      </c>
      <c r="CF3034" s="3">
        <v>45957</v>
      </c>
      <c r="CI3034">
        <v>1</v>
      </c>
      <c r="CJ3034">
        <v>1</v>
      </c>
      <c r="CK3034">
        <v>22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"080068727629"</f>
        <v>080068727629</v>
      </c>
      <c r="F3035" s="3">
        <v>45954</v>
      </c>
      <c r="G3035">
        <v>202607</v>
      </c>
      <c r="H3035" t="s">
        <v>79</v>
      </c>
      <c r="I3035" t="s">
        <v>80</v>
      </c>
      <c r="J3035" t="s">
        <v>91</v>
      </c>
      <c r="K3035" t="s">
        <v>78</v>
      </c>
      <c r="L3035" t="s">
        <v>453</v>
      </c>
      <c r="M3035" t="s">
        <v>454</v>
      </c>
      <c r="N3035" t="s">
        <v>581</v>
      </c>
      <c r="O3035" t="s">
        <v>82</v>
      </c>
      <c r="P3035" t="str">
        <f>"4170065972                    "</f>
        <v xml:space="preserve">4170065972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22.36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70.959999999999994</v>
      </c>
      <c r="BM3035">
        <v>10.64</v>
      </c>
      <c r="BN3035">
        <v>81.599999999999994</v>
      </c>
      <c r="BO3035">
        <v>81.599999999999994</v>
      </c>
      <c r="BQ3035" t="s">
        <v>582</v>
      </c>
      <c r="BR3035" t="s">
        <v>97</v>
      </c>
      <c r="BS3035" s="3">
        <v>45957</v>
      </c>
      <c r="BT3035" s="4">
        <v>0.45833333333333331</v>
      </c>
      <c r="BU3035" t="s">
        <v>583</v>
      </c>
      <c r="BV3035" t="s">
        <v>86</v>
      </c>
      <c r="BY3035">
        <v>1200</v>
      </c>
      <c r="CA3035" t="s">
        <v>742</v>
      </c>
      <c r="CC3035" t="s">
        <v>454</v>
      </c>
      <c r="CD3035">
        <v>3610</v>
      </c>
      <c r="CE3035" t="s">
        <v>147</v>
      </c>
      <c r="CF3035" s="3">
        <v>45958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"080068727657"</f>
        <v>080068727657</v>
      </c>
      <c r="F3036" s="3">
        <v>45954</v>
      </c>
      <c r="G3036">
        <v>202607</v>
      </c>
      <c r="H3036" t="s">
        <v>79</v>
      </c>
      <c r="I3036" t="s">
        <v>80</v>
      </c>
      <c r="J3036" t="s">
        <v>91</v>
      </c>
      <c r="K3036" t="s">
        <v>78</v>
      </c>
      <c r="L3036" t="s">
        <v>233</v>
      </c>
      <c r="M3036" t="s">
        <v>234</v>
      </c>
      <c r="N3036" t="s">
        <v>908</v>
      </c>
      <c r="O3036" t="s">
        <v>82</v>
      </c>
      <c r="P3036" t="str">
        <f>"4170066112                    "</f>
        <v xml:space="preserve">4170066112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22.36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1.1000000000000001</v>
      </c>
      <c r="BK3036">
        <v>1.5</v>
      </c>
      <c r="BL3036">
        <v>70.959999999999994</v>
      </c>
      <c r="BM3036">
        <v>10.64</v>
      </c>
      <c r="BN3036">
        <v>81.599999999999994</v>
      </c>
      <c r="BO3036">
        <v>81.599999999999994</v>
      </c>
      <c r="BQ3036" t="s">
        <v>909</v>
      </c>
      <c r="BR3036" t="s">
        <v>97</v>
      </c>
      <c r="BS3036" s="3">
        <v>45957</v>
      </c>
      <c r="BT3036" s="4">
        <v>0.3659722222222222</v>
      </c>
      <c r="BU3036" t="s">
        <v>2252</v>
      </c>
      <c r="BV3036" t="s">
        <v>86</v>
      </c>
      <c r="BY3036">
        <v>5510</v>
      </c>
      <c r="CA3036">
        <v>7712195338085</v>
      </c>
      <c r="CC3036" t="s">
        <v>234</v>
      </c>
      <c r="CD3036" s="5" t="s">
        <v>238</v>
      </c>
      <c r="CE3036" t="s">
        <v>191</v>
      </c>
      <c r="CF3036" s="3">
        <v>45957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"080068727683"</f>
        <v>080068727683</v>
      </c>
      <c r="F3037" s="3">
        <v>45954</v>
      </c>
      <c r="G3037">
        <v>202607</v>
      </c>
      <c r="H3037" t="s">
        <v>79</v>
      </c>
      <c r="I3037" t="s">
        <v>80</v>
      </c>
      <c r="J3037" t="s">
        <v>91</v>
      </c>
      <c r="K3037" t="s">
        <v>78</v>
      </c>
      <c r="L3037" t="s">
        <v>206</v>
      </c>
      <c r="M3037" t="s">
        <v>207</v>
      </c>
      <c r="N3037" t="s">
        <v>698</v>
      </c>
      <c r="O3037" t="s">
        <v>82</v>
      </c>
      <c r="P3037" t="str">
        <f>"4170065658                    "</f>
        <v xml:space="preserve">4170065658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22.36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70.959999999999994</v>
      </c>
      <c r="BM3037">
        <v>10.64</v>
      </c>
      <c r="BN3037">
        <v>81.599999999999994</v>
      </c>
      <c r="BO3037">
        <v>81.599999999999994</v>
      </c>
      <c r="BQ3037" t="s">
        <v>699</v>
      </c>
      <c r="BR3037" t="s">
        <v>97</v>
      </c>
      <c r="BS3037" s="3">
        <v>45957</v>
      </c>
      <c r="BT3037" s="4">
        <v>0.43472222222222223</v>
      </c>
      <c r="BU3037" t="s">
        <v>700</v>
      </c>
      <c r="BV3037" t="s">
        <v>86</v>
      </c>
      <c r="BY3037">
        <v>1200</v>
      </c>
      <c r="CA3037" t="s">
        <v>375</v>
      </c>
      <c r="CC3037" t="s">
        <v>207</v>
      </c>
      <c r="CD3037">
        <v>7800</v>
      </c>
      <c r="CE3037" t="s">
        <v>147</v>
      </c>
      <c r="CF3037" s="3">
        <v>45958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"080068727696"</f>
        <v>080068727696</v>
      </c>
      <c r="F3038" s="3">
        <v>45954</v>
      </c>
      <c r="G3038">
        <v>202607</v>
      </c>
      <c r="H3038" t="s">
        <v>79</v>
      </c>
      <c r="I3038" t="s">
        <v>80</v>
      </c>
      <c r="J3038" t="s">
        <v>91</v>
      </c>
      <c r="K3038" t="s">
        <v>78</v>
      </c>
      <c r="L3038" t="s">
        <v>114</v>
      </c>
      <c r="M3038" t="s">
        <v>115</v>
      </c>
      <c r="N3038" t="s">
        <v>746</v>
      </c>
      <c r="O3038" t="s">
        <v>82</v>
      </c>
      <c r="P3038" t="str">
        <f>"4170065952                    "</f>
        <v xml:space="preserve">4170065952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22.36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1.1000000000000001</v>
      </c>
      <c r="BK3038">
        <v>1.5</v>
      </c>
      <c r="BL3038">
        <v>70.959999999999994</v>
      </c>
      <c r="BM3038">
        <v>10.64</v>
      </c>
      <c r="BN3038">
        <v>81.599999999999994</v>
      </c>
      <c r="BO3038">
        <v>81.599999999999994</v>
      </c>
      <c r="BQ3038" t="s">
        <v>747</v>
      </c>
      <c r="BR3038" t="s">
        <v>97</v>
      </c>
      <c r="BS3038" s="3">
        <v>45957</v>
      </c>
      <c r="BT3038" s="4">
        <v>0.46388888888888891</v>
      </c>
      <c r="BU3038" t="s">
        <v>1863</v>
      </c>
      <c r="BV3038" t="s">
        <v>90</v>
      </c>
      <c r="BY3038">
        <v>5510</v>
      </c>
      <c r="CA3038" t="s">
        <v>749</v>
      </c>
      <c r="CC3038" t="s">
        <v>115</v>
      </c>
      <c r="CD3038">
        <v>5201</v>
      </c>
      <c r="CE3038" t="s">
        <v>191</v>
      </c>
      <c r="CF3038" s="3">
        <v>45958</v>
      </c>
      <c r="CI3038">
        <v>1</v>
      </c>
      <c r="CJ3038">
        <v>1</v>
      </c>
      <c r="CK3038">
        <v>21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"080068727701"</f>
        <v>080068727701</v>
      </c>
      <c r="F3039" s="3">
        <v>45954</v>
      </c>
      <c r="G3039">
        <v>202607</v>
      </c>
      <c r="H3039" t="s">
        <v>79</v>
      </c>
      <c r="I3039" t="s">
        <v>80</v>
      </c>
      <c r="J3039" t="s">
        <v>91</v>
      </c>
      <c r="K3039" t="s">
        <v>78</v>
      </c>
      <c r="L3039" t="s">
        <v>453</v>
      </c>
      <c r="M3039" t="s">
        <v>454</v>
      </c>
      <c r="N3039" t="s">
        <v>563</v>
      </c>
      <c r="O3039" t="s">
        <v>82</v>
      </c>
      <c r="P3039" t="str">
        <f>"4170066106                    "</f>
        <v xml:space="preserve">4170066106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22.36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70.959999999999994</v>
      </c>
      <c r="BM3039">
        <v>10.64</v>
      </c>
      <c r="BN3039">
        <v>81.599999999999994</v>
      </c>
      <c r="BO3039">
        <v>81.599999999999994</v>
      </c>
      <c r="BQ3039" t="s">
        <v>564</v>
      </c>
      <c r="BR3039" t="s">
        <v>97</v>
      </c>
      <c r="BS3039" s="3">
        <v>45957</v>
      </c>
      <c r="BT3039" s="4">
        <v>0.4548611111111111</v>
      </c>
      <c r="BU3039" t="s">
        <v>3340</v>
      </c>
      <c r="BV3039" t="s">
        <v>86</v>
      </c>
      <c r="BY3039">
        <v>1200</v>
      </c>
      <c r="CA3039" t="s">
        <v>742</v>
      </c>
      <c r="CC3039" t="s">
        <v>454</v>
      </c>
      <c r="CD3039">
        <v>3610</v>
      </c>
      <c r="CE3039" t="s">
        <v>147</v>
      </c>
      <c r="CF3039" s="3">
        <v>45958</v>
      </c>
      <c r="CI3039">
        <v>1</v>
      </c>
      <c r="CJ3039">
        <v>1</v>
      </c>
      <c r="CK3039">
        <v>21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"080068727732"</f>
        <v>080068727732</v>
      </c>
      <c r="F3040" s="3">
        <v>45954</v>
      </c>
      <c r="G3040">
        <v>202607</v>
      </c>
      <c r="H3040" t="s">
        <v>79</v>
      </c>
      <c r="I3040" t="s">
        <v>80</v>
      </c>
      <c r="J3040" t="s">
        <v>91</v>
      </c>
      <c r="K3040" t="s">
        <v>78</v>
      </c>
      <c r="L3040" t="s">
        <v>168</v>
      </c>
      <c r="M3040" t="s">
        <v>169</v>
      </c>
      <c r="N3040" t="s">
        <v>873</v>
      </c>
      <c r="O3040" t="s">
        <v>82</v>
      </c>
      <c r="P3040" t="str">
        <f>"4170066073                    "</f>
        <v xml:space="preserve">4170066073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22.36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1.1000000000000001</v>
      </c>
      <c r="BK3040">
        <v>1.5</v>
      </c>
      <c r="BL3040">
        <v>70.959999999999994</v>
      </c>
      <c r="BM3040">
        <v>10.64</v>
      </c>
      <c r="BN3040">
        <v>81.599999999999994</v>
      </c>
      <c r="BO3040">
        <v>81.599999999999994</v>
      </c>
      <c r="BQ3040" t="s">
        <v>874</v>
      </c>
      <c r="BR3040" t="s">
        <v>97</v>
      </c>
      <c r="BS3040" s="3">
        <v>45958</v>
      </c>
      <c r="BT3040" s="4">
        <v>0.68333333333333335</v>
      </c>
      <c r="BU3040" t="s">
        <v>3393</v>
      </c>
      <c r="BV3040" t="s">
        <v>90</v>
      </c>
      <c r="BW3040" t="s">
        <v>188</v>
      </c>
      <c r="BX3040" t="s">
        <v>189</v>
      </c>
      <c r="BY3040">
        <v>5510</v>
      </c>
      <c r="CA3040" s="5" t="s">
        <v>2424</v>
      </c>
      <c r="CC3040" t="s">
        <v>169</v>
      </c>
      <c r="CD3040" s="5" t="s">
        <v>877</v>
      </c>
      <c r="CE3040" t="s">
        <v>191</v>
      </c>
      <c r="CF3040" s="3">
        <v>45958</v>
      </c>
      <c r="CI3040">
        <v>1</v>
      </c>
      <c r="CJ3040">
        <v>2</v>
      </c>
      <c r="CK3040">
        <v>21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"080068727758"</f>
        <v>080068727758</v>
      </c>
      <c r="F3041" s="3">
        <v>45954</v>
      </c>
      <c r="G3041">
        <v>202607</v>
      </c>
      <c r="H3041" t="s">
        <v>79</v>
      </c>
      <c r="I3041" t="s">
        <v>80</v>
      </c>
      <c r="J3041" t="s">
        <v>91</v>
      </c>
      <c r="K3041" t="s">
        <v>78</v>
      </c>
      <c r="L3041" t="s">
        <v>108</v>
      </c>
      <c r="M3041" t="s">
        <v>109</v>
      </c>
      <c r="N3041" t="s">
        <v>548</v>
      </c>
      <c r="O3041" t="s">
        <v>82</v>
      </c>
      <c r="P3041" t="str">
        <f>"4170066126                    "</f>
        <v xml:space="preserve">4170066126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39.11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</v>
      </c>
      <c r="BJ3041">
        <v>3.4</v>
      </c>
      <c r="BK3041">
        <v>3.5</v>
      </c>
      <c r="BL3041">
        <v>124.13</v>
      </c>
      <c r="BM3041">
        <v>18.62</v>
      </c>
      <c r="BN3041">
        <v>142.75</v>
      </c>
      <c r="BO3041">
        <v>142.75</v>
      </c>
      <c r="BQ3041" t="s">
        <v>549</v>
      </c>
      <c r="BR3041" t="s">
        <v>97</v>
      </c>
      <c r="BS3041" s="3">
        <v>45957</v>
      </c>
      <c r="BT3041" s="4">
        <v>0.38819444444444445</v>
      </c>
      <c r="BU3041" t="s">
        <v>1710</v>
      </c>
      <c r="BV3041" t="s">
        <v>86</v>
      </c>
      <c r="BY3041">
        <v>16965</v>
      </c>
      <c r="CA3041" t="s">
        <v>1090</v>
      </c>
      <c r="CC3041" t="s">
        <v>109</v>
      </c>
      <c r="CD3041">
        <v>6001</v>
      </c>
      <c r="CE3041" t="s">
        <v>191</v>
      </c>
      <c r="CF3041" s="3">
        <v>45957</v>
      </c>
      <c r="CI3041">
        <v>1</v>
      </c>
      <c r="CJ3041">
        <v>1</v>
      </c>
      <c r="CK3041">
        <v>21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"080068727780"</f>
        <v>080068727780</v>
      </c>
      <c r="F3042" s="3">
        <v>45954</v>
      </c>
      <c r="G3042">
        <v>202607</v>
      </c>
      <c r="H3042" t="s">
        <v>79</v>
      </c>
      <c r="I3042" t="s">
        <v>80</v>
      </c>
      <c r="J3042" t="s">
        <v>91</v>
      </c>
      <c r="K3042" t="s">
        <v>78</v>
      </c>
      <c r="L3042" t="s">
        <v>271</v>
      </c>
      <c r="M3042" t="s">
        <v>272</v>
      </c>
      <c r="N3042" t="s">
        <v>3394</v>
      </c>
      <c r="O3042" t="s">
        <v>82</v>
      </c>
      <c r="P3042" t="str">
        <f>"4170066131                    "</f>
        <v xml:space="preserve">4170066131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17.46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55.42</v>
      </c>
      <c r="BM3042">
        <v>8.31</v>
      </c>
      <c r="BN3042">
        <v>63.73</v>
      </c>
      <c r="BO3042">
        <v>63.73</v>
      </c>
      <c r="BQ3042" t="s">
        <v>3395</v>
      </c>
      <c r="BR3042" t="s">
        <v>97</v>
      </c>
      <c r="BS3042" s="3">
        <v>45957</v>
      </c>
      <c r="BT3042" s="4">
        <v>0.40972222222222221</v>
      </c>
      <c r="BU3042" t="s">
        <v>3396</v>
      </c>
      <c r="BV3042" t="s">
        <v>86</v>
      </c>
      <c r="BY3042">
        <v>1200</v>
      </c>
      <c r="CA3042" t="s">
        <v>2476</v>
      </c>
      <c r="CC3042" t="s">
        <v>272</v>
      </c>
      <c r="CD3042">
        <v>1401</v>
      </c>
      <c r="CE3042" t="s">
        <v>147</v>
      </c>
      <c r="CF3042" s="3">
        <v>45958</v>
      </c>
      <c r="CI3042">
        <v>1</v>
      </c>
      <c r="CJ3042">
        <v>1</v>
      </c>
      <c r="CK3042">
        <v>22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"080068727817"</f>
        <v>080068727817</v>
      </c>
      <c r="F3043" s="3">
        <v>45954</v>
      </c>
      <c r="G3043">
        <v>202607</v>
      </c>
      <c r="H3043" t="s">
        <v>79</v>
      </c>
      <c r="I3043" t="s">
        <v>80</v>
      </c>
      <c r="J3043" t="s">
        <v>91</v>
      </c>
      <c r="K3043" t="s">
        <v>78</v>
      </c>
      <c r="L3043" t="s">
        <v>809</v>
      </c>
      <c r="M3043" t="s">
        <v>810</v>
      </c>
      <c r="N3043" t="s">
        <v>3397</v>
      </c>
      <c r="O3043" t="s">
        <v>82</v>
      </c>
      <c r="P3043" t="str">
        <f>"4170066122                    "</f>
        <v xml:space="preserve">4170066122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17.46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55.42</v>
      </c>
      <c r="BM3043">
        <v>8.31</v>
      </c>
      <c r="BN3043">
        <v>63.73</v>
      </c>
      <c r="BO3043">
        <v>63.73</v>
      </c>
      <c r="BQ3043" t="s">
        <v>3398</v>
      </c>
      <c r="BR3043" t="s">
        <v>97</v>
      </c>
      <c r="BS3043" s="3">
        <v>45957</v>
      </c>
      <c r="BT3043" s="4">
        <v>0.45277777777777778</v>
      </c>
      <c r="BU3043" t="s">
        <v>3399</v>
      </c>
      <c r="BV3043" t="s">
        <v>90</v>
      </c>
      <c r="BW3043" t="s">
        <v>188</v>
      </c>
      <c r="BX3043" t="s">
        <v>1652</v>
      </c>
      <c r="BY3043">
        <v>1200</v>
      </c>
      <c r="CA3043" t="s">
        <v>3400</v>
      </c>
      <c r="CC3043" t="s">
        <v>810</v>
      </c>
      <c r="CD3043">
        <v>1724</v>
      </c>
      <c r="CE3043" t="s">
        <v>147</v>
      </c>
      <c r="CF3043" s="3">
        <v>45957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"080068727914"</f>
        <v>080068727914</v>
      </c>
      <c r="F3044" s="3">
        <v>45954</v>
      </c>
      <c r="G3044">
        <v>202607</v>
      </c>
      <c r="H3044" t="s">
        <v>79</v>
      </c>
      <c r="I3044" t="s">
        <v>80</v>
      </c>
      <c r="J3044" t="s">
        <v>91</v>
      </c>
      <c r="K3044" t="s">
        <v>78</v>
      </c>
      <c r="L3044" t="s">
        <v>218</v>
      </c>
      <c r="M3044" t="s">
        <v>219</v>
      </c>
      <c r="N3044" t="s">
        <v>443</v>
      </c>
      <c r="O3044" t="s">
        <v>82</v>
      </c>
      <c r="P3044" t="str">
        <f>"4170066124                    "</f>
        <v xml:space="preserve">4170066124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17.46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55.42</v>
      </c>
      <c r="BM3044">
        <v>8.31</v>
      </c>
      <c r="BN3044">
        <v>63.73</v>
      </c>
      <c r="BO3044">
        <v>63.73</v>
      </c>
      <c r="BQ3044" t="s">
        <v>444</v>
      </c>
      <c r="BR3044" t="s">
        <v>97</v>
      </c>
      <c r="BS3044" s="3">
        <v>45957</v>
      </c>
      <c r="BT3044" s="4">
        <v>0.42083333333333334</v>
      </c>
      <c r="BU3044" t="s">
        <v>3336</v>
      </c>
      <c r="BV3044" t="s">
        <v>86</v>
      </c>
      <c r="BY3044">
        <v>1200</v>
      </c>
      <c r="CA3044" t="s">
        <v>1434</v>
      </c>
      <c r="CC3044" t="s">
        <v>219</v>
      </c>
      <c r="CD3044">
        <v>1559</v>
      </c>
      <c r="CE3044" t="s">
        <v>147</v>
      </c>
      <c r="CF3044" s="3">
        <v>45958</v>
      </c>
      <c r="CI3044">
        <v>1</v>
      </c>
      <c r="CJ3044">
        <v>1</v>
      </c>
      <c r="CK3044">
        <v>22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"080068727927"</f>
        <v>080068727927</v>
      </c>
      <c r="F3045" s="3">
        <v>45954</v>
      </c>
      <c r="G3045">
        <v>202607</v>
      </c>
      <c r="H3045" t="s">
        <v>79</v>
      </c>
      <c r="I3045" t="s">
        <v>80</v>
      </c>
      <c r="J3045" t="s">
        <v>91</v>
      </c>
      <c r="K3045" t="s">
        <v>78</v>
      </c>
      <c r="L3045" t="s">
        <v>168</v>
      </c>
      <c r="M3045" t="s">
        <v>169</v>
      </c>
      <c r="N3045" t="s">
        <v>737</v>
      </c>
      <c r="O3045" t="s">
        <v>95</v>
      </c>
      <c r="P3045" t="str">
        <f>"4170066063                    "</f>
        <v xml:space="preserve">4170066063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50.37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2</v>
      </c>
      <c r="BI3045">
        <v>19</v>
      </c>
      <c r="BJ3045">
        <v>18.899999999999999</v>
      </c>
      <c r="BK3045">
        <v>19</v>
      </c>
      <c r="BL3045">
        <v>165.74</v>
      </c>
      <c r="BM3045">
        <v>24.86</v>
      </c>
      <c r="BN3045">
        <v>190.6</v>
      </c>
      <c r="BO3045">
        <v>190.6</v>
      </c>
      <c r="BQ3045" t="s">
        <v>738</v>
      </c>
      <c r="BR3045" t="s">
        <v>97</v>
      </c>
      <c r="BS3045" s="3">
        <v>45957</v>
      </c>
      <c r="BT3045" s="4">
        <v>0.41458333333333336</v>
      </c>
      <c r="BU3045" t="s">
        <v>1153</v>
      </c>
      <c r="BV3045" t="s">
        <v>86</v>
      </c>
      <c r="BY3045">
        <v>94458</v>
      </c>
      <c r="CA3045">
        <v>9103185460089</v>
      </c>
      <c r="CC3045" t="s">
        <v>169</v>
      </c>
      <c r="CD3045" s="5" t="s">
        <v>173</v>
      </c>
      <c r="CE3045" t="s">
        <v>191</v>
      </c>
      <c r="CF3045" s="3">
        <v>45957</v>
      </c>
      <c r="CI3045">
        <v>1</v>
      </c>
      <c r="CJ3045">
        <v>1</v>
      </c>
      <c r="CK3045">
        <v>41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"080068727990"</f>
        <v>080068727990</v>
      </c>
      <c r="F3046" s="3">
        <v>45954</v>
      </c>
      <c r="G3046">
        <v>202607</v>
      </c>
      <c r="H3046" t="s">
        <v>79</v>
      </c>
      <c r="I3046" t="s">
        <v>80</v>
      </c>
      <c r="J3046" t="s">
        <v>91</v>
      </c>
      <c r="K3046" t="s">
        <v>78</v>
      </c>
      <c r="L3046" t="s">
        <v>1095</v>
      </c>
      <c r="M3046" t="s">
        <v>1096</v>
      </c>
      <c r="N3046" t="s">
        <v>1538</v>
      </c>
      <c r="O3046" t="s">
        <v>82</v>
      </c>
      <c r="P3046" t="str">
        <f>"4170066125                    "</f>
        <v xml:space="preserve">4170066125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43.31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1.1000000000000001</v>
      </c>
      <c r="BK3046">
        <v>1.5</v>
      </c>
      <c r="BL3046">
        <v>137.47</v>
      </c>
      <c r="BM3046">
        <v>20.62</v>
      </c>
      <c r="BN3046">
        <v>158.09</v>
      </c>
      <c r="BO3046">
        <v>158.09</v>
      </c>
      <c r="BQ3046" t="s">
        <v>1539</v>
      </c>
      <c r="BR3046" t="s">
        <v>97</v>
      </c>
      <c r="BS3046" s="3">
        <v>45957</v>
      </c>
      <c r="BT3046" s="4">
        <v>0.41666666666666669</v>
      </c>
      <c r="BU3046" t="s">
        <v>1923</v>
      </c>
      <c r="BV3046" t="s">
        <v>86</v>
      </c>
      <c r="BY3046">
        <v>5320</v>
      </c>
      <c r="CA3046" t="s">
        <v>1099</v>
      </c>
      <c r="CC3046" t="s">
        <v>1096</v>
      </c>
      <c r="CD3046">
        <v>2302</v>
      </c>
      <c r="CE3046" t="s">
        <v>191</v>
      </c>
      <c r="CF3046" s="3">
        <v>45958</v>
      </c>
      <c r="CI3046">
        <v>1</v>
      </c>
      <c r="CJ3046">
        <v>1</v>
      </c>
      <c r="CK3046">
        <v>23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"080068727998"</f>
        <v>080068727998</v>
      </c>
      <c r="F3047" s="3">
        <v>45954</v>
      </c>
      <c r="G3047">
        <v>202607</v>
      </c>
      <c r="H3047" t="s">
        <v>79</v>
      </c>
      <c r="I3047" t="s">
        <v>80</v>
      </c>
      <c r="J3047" t="s">
        <v>91</v>
      </c>
      <c r="K3047" t="s">
        <v>78</v>
      </c>
      <c r="L3047" t="s">
        <v>605</v>
      </c>
      <c r="M3047" t="s">
        <v>606</v>
      </c>
      <c r="N3047" t="s">
        <v>607</v>
      </c>
      <c r="O3047" t="s">
        <v>82</v>
      </c>
      <c r="P3047" t="str">
        <f>"4170066134                    "</f>
        <v xml:space="preserve">4170066134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43.31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1.7</v>
      </c>
      <c r="BK3047">
        <v>2</v>
      </c>
      <c r="BL3047">
        <v>137.47</v>
      </c>
      <c r="BM3047">
        <v>20.62</v>
      </c>
      <c r="BN3047">
        <v>158.09</v>
      </c>
      <c r="BO3047">
        <v>158.09</v>
      </c>
      <c r="BQ3047" t="s">
        <v>608</v>
      </c>
      <c r="BR3047" t="s">
        <v>97</v>
      </c>
      <c r="BS3047" s="3">
        <v>45957</v>
      </c>
      <c r="BT3047" s="4">
        <v>0.36527777777777776</v>
      </c>
      <c r="BU3047" t="s">
        <v>3401</v>
      </c>
      <c r="BV3047" t="s">
        <v>86</v>
      </c>
      <c r="BY3047">
        <v>8550</v>
      </c>
      <c r="CA3047" t="s">
        <v>3402</v>
      </c>
      <c r="CC3047" t="s">
        <v>606</v>
      </c>
      <c r="CD3047">
        <v>1947</v>
      </c>
      <c r="CE3047" t="s">
        <v>191</v>
      </c>
      <c r="CF3047" s="3">
        <v>45957</v>
      </c>
      <c r="CI3047">
        <v>1</v>
      </c>
      <c r="CJ3047">
        <v>1</v>
      </c>
      <c r="CK3047">
        <v>23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"080068728065"</f>
        <v>080068728065</v>
      </c>
      <c r="F3048" s="3">
        <v>45954</v>
      </c>
      <c r="G3048">
        <v>202607</v>
      </c>
      <c r="H3048" t="s">
        <v>79</v>
      </c>
      <c r="I3048" t="s">
        <v>80</v>
      </c>
      <c r="J3048" t="s">
        <v>91</v>
      </c>
      <c r="K3048" t="s">
        <v>78</v>
      </c>
      <c r="L3048" t="s">
        <v>108</v>
      </c>
      <c r="M3048" t="s">
        <v>109</v>
      </c>
      <c r="N3048" t="s">
        <v>3403</v>
      </c>
      <c r="O3048" t="s">
        <v>82</v>
      </c>
      <c r="P3048" t="str">
        <f>"4170066128                    "</f>
        <v xml:space="preserve">4170066128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33.520000000000003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3</v>
      </c>
      <c r="BJ3048">
        <v>1.9</v>
      </c>
      <c r="BK3048">
        <v>3</v>
      </c>
      <c r="BL3048">
        <v>106.4</v>
      </c>
      <c r="BM3048">
        <v>15.96</v>
      </c>
      <c r="BN3048">
        <v>122.36</v>
      </c>
      <c r="BO3048">
        <v>122.36</v>
      </c>
      <c r="BQ3048" t="s">
        <v>3404</v>
      </c>
      <c r="BR3048" t="s">
        <v>97</v>
      </c>
      <c r="BS3048" s="3">
        <v>45957</v>
      </c>
      <c r="BT3048" s="4">
        <v>0.43194444444444446</v>
      </c>
      <c r="BU3048" t="s">
        <v>3405</v>
      </c>
      <c r="BV3048" t="s">
        <v>86</v>
      </c>
      <c r="BY3048">
        <v>9600</v>
      </c>
      <c r="CC3048" t="s">
        <v>109</v>
      </c>
      <c r="CD3048">
        <v>6000</v>
      </c>
      <c r="CE3048" t="s">
        <v>191</v>
      </c>
      <c r="CF3048" s="3">
        <v>45957</v>
      </c>
      <c r="CI3048">
        <v>1</v>
      </c>
      <c r="CJ3048">
        <v>1</v>
      </c>
      <c r="CK3048">
        <v>21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"080068728057"</f>
        <v>080068728057</v>
      </c>
      <c r="F3049" s="3">
        <v>45954</v>
      </c>
      <c r="G3049">
        <v>202607</v>
      </c>
      <c r="H3049" t="s">
        <v>79</v>
      </c>
      <c r="I3049" t="s">
        <v>80</v>
      </c>
      <c r="J3049" t="s">
        <v>91</v>
      </c>
      <c r="K3049" t="s">
        <v>78</v>
      </c>
      <c r="L3049" t="s">
        <v>92</v>
      </c>
      <c r="M3049" t="s">
        <v>93</v>
      </c>
      <c r="N3049" t="s">
        <v>552</v>
      </c>
      <c r="O3049" t="s">
        <v>82</v>
      </c>
      <c r="P3049" t="str">
        <f>"4170066130                    "</f>
        <v xml:space="preserve">4170066130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22.36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70.959999999999994</v>
      </c>
      <c r="BM3049">
        <v>10.64</v>
      </c>
      <c r="BN3049">
        <v>81.599999999999994</v>
      </c>
      <c r="BO3049">
        <v>81.599999999999994</v>
      </c>
      <c r="BQ3049" t="s">
        <v>553</v>
      </c>
      <c r="BR3049" t="s">
        <v>97</v>
      </c>
      <c r="BS3049" s="3">
        <v>45957</v>
      </c>
      <c r="BT3049" s="4">
        <v>0.4375</v>
      </c>
      <c r="BU3049" t="s">
        <v>3406</v>
      </c>
      <c r="BV3049" t="s">
        <v>86</v>
      </c>
      <c r="BY3049">
        <v>1200</v>
      </c>
      <c r="CA3049" t="s">
        <v>1782</v>
      </c>
      <c r="CC3049" t="s">
        <v>93</v>
      </c>
      <c r="CD3049">
        <v>3201</v>
      </c>
      <c r="CE3049" t="s">
        <v>147</v>
      </c>
      <c r="CF3049" s="3">
        <v>45958</v>
      </c>
      <c r="CI3049">
        <v>1</v>
      </c>
      <c r="CJ3049">
        <v>1</v>
      </c>
      <c r="CK3049">
        <v>21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"080068728107"</f>
        <v>080068728107</v>
      </c>
      <c r="F3050" s="3">
        <v>45954</v>
      </c>
      <c r="G3050">
        <v>202607</v>
      </c>
      <c r="H3050" t="s">
        <v>79</v>
      </c>
      <c r="I3050" t="s">
        <v>80</v>
      </c>
      <c r="J3050" t="s">
        <v>91</v>
      </c>
      <c r="K3050" t="s">
        <v>78</v>
      </c>
      <c r="L3050" t="s">
        <v>322</v>
      </c>
      <c r="M3050" t="s">
        <v>322</v>
      </c>
      <c r="N3050" t="s">
        <v>483</v>
      </c>
      <c r="O3050" t="s">
        <v>82</v>
      </c>
      <c r="P3050" t="str">
        <f>"4170066098                    "</f>
        <v xml:space="preserve">4170066098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62.87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3</v>
      </c>
      <c r="BJ3050">
        <v>1.1000000000000001</v>
      </c>
      <c r="BK3050">
        <v>3</v>
      </c>
      <c r="BL3050">
        <v>199.55</v>
      </c>
      <c r="BM3050">
        <v>29.93</v>
      </c>
      <c r="BN3050">
        <v>229.48</v>
      </c>
      <c r="BO3050">
        <v>229.48</v>
      </c>
      <c r="BQ3050" t="s">
        <v>486</v>
      </c>
      <c r="BR3050" t="s">
        <v>97</v>
      </c>
      <c r="BS3050" s="3">
        <v>45957</v>
      </c>
      <c r="BT3050" s="4">
        <v>0.46180555555555558</v>
      </c>
      <c r="BU3050" t="s">
        <v>3407</v>
      </c>
      <c r="BV3050" t="s">
        <v>86</v>
      </c>
      <c r="BY3050">
        <v>5700</v>
      </c>
      <c r="CA3050" t="s">
        <v>1637</v>
      </c>
      <c r="CC3050" t="s">
        <v>322</v>
      </c>
      <c r="CD3050">
        <v>7646</v>
      </c>
      <c r="CE3050" t="s">
        <v>191</v>
      </c>
      <c r="CF3050" s="3">
        <v>45958</v>
      </c>
      <c r="CI3050">
        <v>1</v>
      </c>
      <c r="CJ3050">
        <v>1</v>
      </c>
      <c r="CK3050">
        <v>23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"080068728146"</f>
        <v>080068728146</v>
      </c>
      <c r="F3051" s="3">
        <v>45954</v>
      </c>
      <c r="G3051">
        <v>202607</v>
      </c>
      <c r="H3051" t="s">
        <v>79</v>
      </c>
      <c r="I3051" t="s">
        <v>80</v>
      </c>
      <c r="J3051" t="s">
        <v>91</v>
      </c>
      <c r="K3051" t="s">
        <v>78</v>
      </c>
      <c r="L3051" t="s">
        <v>453</v>
      </c>
      <c r="M3051" t="s">
        <v>454</v>
      </c>
      <c r="N3051" t="s">
        <v>845</v>
      </c>
      <c r="O3051" t="s">
        <v>82</v>
      </c>
      <c r="P3051" t="str">
        <f>"4170066084                    "</f>
        <v xml:space="preserve">4170066084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22.36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70.959999999999994</v>
      </c>
      <c r="BM3051">
        <v>10.64</v>
      </c>
      <c r="BN3051">
        <v>81.599999999999994</v>
      </c>
      <c r="BO3051">
        <v>81.599999999999994</v>
      </c>
      <c r="BQ3051" t="s">
        <v>846</v>
      </c>
      <c r="BR3051" t="s">
        <v>97</v>
      </c>
      <c r="BS3051" s="3">
        <v>45957</v>
      </c>
      <c r="BT3051" s="4">
        <v>0.43402777777777779</v>
      </c>
      <c r="BU3051" t="s">
        <v>2146</v>
      </c>
      <c r="BV3051" t="s">
        <v>86</v>
      </c>
      <c r="BY3051">
        <v>1200</v>
      </c>
      <c r="CA3051" t="s">
        <v>457</v>
      </c>
      <c r="CC3051" t="s">
        <v>454</v>
      </c>
      <c r="CD3051">
        <v>3610</v>
      </c>
      <c r="CE3051" t="s">
        <v>147</v>
      </c>
      <c r="CF3051" s="3">
        <v>45958</v>
      </c>
      <c r="CI3051">
        <v>1</v>
      </c>
      <c r="CJ3051">
        <v>1</v>
      </c>
      <c r="CK3051">
        <v>21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"080068728159"</f>
        <v>080068728159</v>
      </c>
      <c r="F3052" s="3">
        <v>45954</v>
      </c>
      <c r="G3052">
        <v>202607</v>
      </c>
      <c r="H3052" t="s">
        <v>79</v>
      </c>
      <c r="I3052" t="s">
        <v>80</v>
      </c>
      <c r="J3052" t="s">
        <v>91</v>
      </c>
      <c r="K3052" t="s">
        <v>78</v>
      </c>
      <c r="L3052" t="s">
        <v>148</v>
      </c>
      <c r="M3052" t="s">
        <v>149</v>
      </c>
      <c r="N3052" t="s">
        <v>465</v>
      </c>
      <c r="O3052" t="s">
        <v>226</v>
      </c>
      <c r="P3052" t="str">
        <f>"4170066120                    "</f>
        <v xml:space="preserve">4170066120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17.47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</v>
      </c>
      <c r="BJ3052">
        <v>2</v>
      </c>
      <c r="BK3052">
        <v>2</v>
      </c>
      <c r="BL3052">
        <v>55.44</v>
      </c>
      <c r="BM3052">
        <v>8.32</v>
      </c>
      <c r="BN3052">
        <v>63.76</v>
      </c>
      <c r="BO3052">
        <v>63.76</v>
      </c>
      <c r="BQ3052" t="s">
        <v>466</v>
      </c>
      <c r="BR3052" t="s">
        <v>97</v>
      </c>
      <c r="BS3052" s="3">
        <v>45957</v>
      </c>
      <c r="BT3052" s="4">
        <v>0.39861111111111114</v>
      </c>
      <c r="BU3052" t="s">
        <v>518</v>
      </c>
      <c r="BV3052" t="s">
        <v>86</v>
      </c>
      <c r="BY3052">
        <v>10080</v>
      </c>
      <c r="CA3052" t="s">
        <v>2853</v>
      </c>
      <c r="CC3052" t="s">
        <v>149</v>
      </c>
      <c r="CD3052">
        <v>2094</v>
      </c>
      <c r="CE3052" t="s">
        <v>107</v>
      </c>
      <c r="CF3052" s="3">
        <v>45958</v>
      </c>
      <c r="CI3052">
        <v>1</v>
      </c>
      <c r="CJ3052">
        <v>1</v>
      </c>
      <c r="CK3052">
        <v>32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"080068728185"</f>
        <v>080068728185</v>
      </c>
      <c r="F3053" s="3">
        <v>45954</v>
      </c>
      <c r="G3053">
        <v>202607</v>
      </c>
      <c r="H3053" t="s">
        <v>79</v>
      </c>
      <c r="I3053" t="s">
        <v>80</v>
      </c>
      <c r="J3053" t="s">
        <v>91</v>
      </c>
      <c r="K3053" t="s">
        <v>78</v>
      </c>
      <c r="L3053" t="s">
        <v>206</v>
      </c>
      <c r="M3053" t="s">
        <v>207</v>
      </c>
      <c r="N3053" t="s">
        <v>935</v>
      </c>
      <c r="O3053" t="s">
        <v>82</v>
      </c>
      <c r="P3053" t="str">
        <f>"4170066121                    "</f>
        <v xml:space="preserve">4170066121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22.36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70.959999999999994</v>
      </c>
      <c r="BM3053">
        <v>10.64</v>
      </c>
      <c r="BN3053">
        <v>81.599999999999994</v>
      </c>
      <c r="BO3053">
        <v>81.599999999999994</v>
      </c>
      <c r="BQ3053" t="s">
        <v>936</v>
      </c>
      <c r="BR3053" t="s">
        <v>97</v>
      </c>
      <c r="BS3053" s="3">
        <v>45957</v>
      </c>
      <c r="BT3053" s="4">
        <v>0.41666666666666669</v>
      </c>
      <c r="BU3053" t="s">
        <v>3408</v>
      </c>
      <c r="BV3053" t="s">
        <v>86</v>
      </c>
      <c r="BY3053">
        <v>1200</v>
      </c>
      <c r="CC3053" t="s">
        <v>207</v>
      </c>
      <c r="CD3053">
        <v>7441</v>
      </c>
      <c r="CE3053" t="s">
        <v>147</v>
      </c>
      <c r="CF3053" s="3">
        <v>45958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"080068728228"</f>
        <v>080068728228</v>
      </c>
      <c r="F3054" s="3">
        <v>45954</v>
      </c>
      <c r="G3054">
        <v>202607</v>
      </c>
      <c r="H3054" t="s">
        <v>79</v>
      </c>
      <c r="I3054" t="s">
        <v>80</v>
      </c>
      <c r="J3054" t="s">
        <v>91</v>
      </c>
      <c r="K3054" t="s">
        <v>78</v>
      </c>
      <c r="L3054" t="s">
        <v>206</v>
      </c>
      <c r="M3054" t="s">
        <v>207</v>
      </c>
      <c r="N3054" t="s">
        <v>427</v>
      </c>
      <c r="O3054" t="s">
        <v>82</v>
      </c>
      <c r="P3054" t="str">
        <f>"4170066132                    "</f>
        <v xml:space="preserve">4170066132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22.36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70.959999999999994</v>
      </c>
      <c r="BM3054">
        <v>10.64</v>
      </c>
      <c r="BN3054">
        <v>81.599999999999994</v>
      </c>
      <c r="BO3054">
        <v>81.599999999999994</v>
      </c>
      <c r="BQ3054" t="s">
        <v>428</v>
      </c>
      <c r="BR3054" t="s">
        <v>97</v>
      </c>
      <c r="BS3054" s="3">
        <v>45957</v>
      </c>
      <c r="BT3054" s="4">
        <v>0.32013888888888886</v>
      </c>
      <c r="BU3054" t="s">
        <v>429</v>
      </c>
      <c r="BV3054" t="s">
        <v>86</v>
      </c>
      <c r="BY3054">
        <v>1200</v>
      </c>
      <c r="CA3054" t="s">
        <v>423</v>
      </c>
      <c r="CC3054" t="s">
        <v>207</v>
      </c>
      <c r="CD3054">
        <v>7530</v>
      </c>
      <c r="CE3054" t="s">
        <v>147</v>
      </c>
      <c r="CF3054" s="3">
        <v>45958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"080068728229"</f>
        <v>080068728229</v>
      </c>
      <c r="F3055" s="3">
        <v>45954</v>
      </c>
      <c r="G3055">
        <v>202607</v>
      </c>
      <c r="H3055" t="s">
        <v>79</v>
      </c>
      <c r="I3055" t="s">
        <v>80</v>
      </c>
      <c r="J3055" t="s">
        <v>91</v>
      </c>
      <c r="K3055" t="s">
        <v>78</v>
      </c>
      <c r="L3055" t="s">
        <v>333</v>
      </c>
      <c r="M3055" t="s">
        <v>334</v>
      </c>
      <c r="N3055" t="s">
        <v>335</v>
      </c>
      <c r="O3055" t="s">
        <v>82</v>
      </c>
      <c r="P3055" t="str">
        <f>"4170065632                    "</f>
        <v xml:space="preserve">4170065632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83.78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3</v>
      </c>
      <c r="BJ3055">
        <v>7.4</v>
      </c>
      <c r="BK3055">
        <v>7.5</v>
      </c>
      <c r="BL3055">
        <v>265.92</v>
      </c>
      <c r="BM3055">
        <v>39.89</v>
      </c>
      <c r="BN3055">
        <v>305.81</v>
      </c>
      <c r="BO3055">
        <v>305.81</v>
      </c>
      <c r="BQ3055" t="s">
        <v>336</v>
      </c>
      <c r="BR3055" t="s">
        <v>97</v>
      </c>
      <c r="BS3055" s="3">
        <v>45957</v>
      </c>
      <c r="BT3055" s="4">
        <v>0.43611111111111112</v>
      </c>
      <c r="BU3055" t="s">
        <v>2929</v>
      </c>
      <c r="BV3055" t="s">
        <v>86</v>
      </c>
      <c r="BY3055">
        <v>37050</v>
      </c>
      <c r="CA3055" t="s">
        <v>142</v>
      </c>
      <c r="CC3055" t="s">
        <v>334</v>
      </c>
      <c r="CD3055">
        <v>6220</v>
      </c>
      <c r="CE3055" t="s">
        <v>107</v>
      </c>
      <c r="CF3055" s="3">
        <v>45957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"080068728292"</f>
        <v>080068728292</v>
      </c>
      <c r="F3056" s="3">
        <v>45954</v>
      </c>
      <c r="G3056">
        <v>202607</v>
      </c>
      <c r="H3056" t="s">
        <v>79</v>
      </c>
      <c r="I3056" t="s">
        <v>80</v>
      </c>
      <c r="J3056" t="s">
        <v>91</v>
      </c>
      <c r="K3056" t="s">
        <v>78</v>
      </c>
      <c r="L3056" t="s">
        <v>79</v>
      </c>
      <c r="M3056" t="s">
        <v>80</v>
      </c>
      <c r="N3056" t="s">
        <v>2157</v>
      </c>
      <c r="O3056" t="s">
        <v>82</v>
      </c>
      <c r="P3056" t="str">
        <f>"4170066137                    "</f>
        <v xml:space="preserve">4170066137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17.46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55.42</v>
      </c>
      <c r="BM3056">
        <v>8.31</v>
      </c>
      <c r="BN3056">
        <v>63.73</v>
      </c>
      <c r="BO3056">
        <v>63.73</v>
      </c>
      <c r="BQ3056" t="s">
        <v>2158</v>
      </c>
      <c r="BR3056" t="s">
        <v>97</v>
      </c>
      <c r="BS3056" s="3">
        <v>45957</v>
      </c>
      <c r="BT3056" s="4">
        <v>0.41041666666666665</v>
      </c>
      <c r="BU3056" t="s">
        <v>1658</v>
      </c>
      <c r="BV3056" t="s">
        <v>86</v>
      </c>
      <c r="BY3056">
        <v>1200</v>
      </c>
      <c r="CC3056" t="s">
        <v>80</v>
      </c>
      <c r="CD3056">
        <v>1619</v>
      </c>
      <c r="CE3056" t="s">
        <v>147</v>
      </c>
      <c r="CF3056" s="3">
        <v>45958</v>
      </c>
      <c r="CI3056">
        <v>1</v>
      </c>
      <c r="CJ3056">
        <v>1</v>
      </c>
      <c r="CK3056">
        <v>22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"080068728335"</f>
        <v>080068728335</v>
      </c>
      <c r="F3057" s="3">
        <v>45954</v>
      </c>
      <c r="G3057">
        <v>202607</v>
      </c>
      <c r="H3057" t="s">
        <v>79</v>
      </c>
      <c r="I3057" t="s">
        <v>80</v>
      </c>
      <c r="J3057" t="s">
        <v>91</v>
      </c>
      <c r="K3057" t="s">
        <v>78</v>
      </c>
      <c r="L3057" t="s">
        <v>1312</v>
      </c>
      <c r="M3057" t="s">
        <v>1313</v>
      </c>
      <c r="N3057" t="s">
        <v>1314</v>
      </c>
      <c r="O3057" t="s">
        <v>82</v>
      </c>
      <c r="P3057" t="str">
        <f>"4170066001                    "</f>
        <v xml:space="preserve">4170066001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77.37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5</v>
      </c>
      <c r="BJ3057">
        <v>3.8</v>
      </c>
      <c r="BK3057">
        <v>5</v>
      </c>
      <c r="BL3057">
        <v>245.56</v>
      </c>
      <c r="BM3057">
        <v>36.83</v>
      </c>
      <c r="BN3057">
        <v>282.39</v>
      </c>
      <c r="BO3057">
        <v>282.39</v>
      </c>
      <c r="BQ3057" t="s">
        <v>1315</v>
      </c>
      <c r="BR3057" t="s">
        <v>97</v>
      </c>
      <c r="BS3057" s="3">
        <v>45957</v>
      </c>
      <c r="BT3057" s="4">
        <v>0.43194444444444446</v>
      </c>
      <c r="BU3057" t="s">
        <v>2713</v>
      </c>
      <c r="BV3057" t="s">
        <v>86</v>
      </c>
      <c r="BY3057">
        <v>18920</v>
      </c>
      <c r="CA3057" t="s">
        <v>2714</v>
      </c>
      <c r="CC3057" t="s">
        <v>1313</v>
      </c>
      <c r="CD3057">
        <v>2410</v>
      </c>
      <c r="CE3057" t="s">
        <v>107</v>
      </c>
      <c r="CF3057" s="3">
        <v>45958</v>
      </c>
      <c r="CI3057">
        <v>1</v>
      </c>
      <c r="CJ3057">
        <v>1</v>
      </c>
      <c r="CK3057">
        <v>24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"080068728425"</f>
        <v>080068728425</v>
      </c>
      <c r="F3058" s="3">
        <v>45954</v>
      </c>
      <c r="G3058">
        <v>202607</v>
      </c>
      <c r="H3058" t="s">
        <v>79</v>
      </c>
      <c r="I3058" t="s">
        <v>80</v>
      </c>
      <c r="J3058" t="s">
        <v>91</v>
      </c>
      <c r="K3058" t="s">
        <v>78</v>
      </c>
      <c r="L3058" t="s">
        <v>92</v>
      </c>
      <c r="M3058" t="s">
        <v>93</v>
      </c>
      <c r="N3058" t="s">
        <v>597</v>
      </c>
      <c r="O3058" t="s">
        <v>82</v>
      </c>
      <c r="P3058" t="str">
        <f>"4170066129                    "</f>
        <v xml:space="preserve">4170066129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89.37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8</v>
      </c>
      <c r="BJ3058">
        <v>4.0999999999999996</v>
      </c>
      <c r="BK3058">
        <v>8</v>
      </c>
      <c r="BL3058">
        <v>283.64999999999998</v>
      </c>
      <c r="BM3058">
        <v>42.55</v>
      </c>
      <c r="BN3058">
        <v>326.2</v>
      </c>
      <c r="BO3058">
        <v>326.2</v>
      </c>
      <c r="BQ3058" t="s">
        <v>598</v>
      </c>
      <c r="BR3058" t="s">
        <v>97</v>
      </c>
      <c r="BS3058" s="3">
        <v>45957</v>
      </c>
      <c r="BT3058" s="4">
        <v>0.48680555555555555</v>
      </c>
      <c r="BU3058" t="s">
        <v>1065</v>
      </c>
      <c r="BV3058" t="s">
        <v>86</v>
      </c>
      <c r="BY3058">
        <v>20358</v>
      </c>
      <c r="CA3058" t="s">
        <v>600</v>
      </c>
      <c r="CC3058" t="s">
        <v>93</v>
      </c>
      <c r="CD3058">
        <v>3201</v>
      </c>
      <c r="CE3058" t="s">
        <v>191</v>
      </c>
      <c r="CF3058" s="3">
        <v>45958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"080068621778"</f>
        <v>080068621778</v>
      </c>
      <c r="F3059" s="3">
        <v>45950</v>
      </c>
      <c r="G3059">
        <v>202607</v>
      </c>
      <c r="H3059" t="s">
        <v>79</v>
      </c>
      <c r="I3059" t="s">
        <v>80</v>
      </c>
      <c r="J3059" t="s">
        <v>91</v>
      </c>
      <c r="K3059" t="s">
        <v>78</v>
      </c>
      <c r="L3059" t="s">
        <v>350</v>
      </c>
      <c r="M3059" t="s">
        <v>351</v>
      </c>
      <c r="N3059" t="s">
        <v>352</v>
      </c>
      <c r="O3059" t="s">
        <v>95</v>
      </c>
      <c r="P3059" t="str">
        <f>"4170065019                    "</f>
        <v xml:space="preserve">4170065019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60.97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6.4</v>
      </c>
      <c r="BJ3059">
        <v>5</v>
      </c>
      <c r="BK3059">
        <v>7</v>
      </c>
      <c r="BL3059">
        <v>199.39</v>
      </c>
      <c r="BM3059">
        <v>29.91</v>
      </c>
      <c r="BN3059">
        <v>229.3</v>
      </c>
      <c r="BO3059">
        <v>229.3</v>
      </c>
      <c r="BQ3059" t="s">
        <v>353</v>
      </c>
      <c r="BR3059" t="s">
        <v>97</v>
      </c>
      <c r="BS3059" s="3">
        <v>45951</v>
      </c>
      <c r="BT3059" s="4">
        <v>0.40416666666666667</v>
      </c>
      <c r="BU3059" t="s">
        <v>354</v>
      </c>
      <c r="BV3059" t="s">
        <v>86</v>
      </c>
      <c r="BY3059">
        <v>25028.52</v>
      </c>
      <c r="BZ3059" t="s">
        <v>2096</v>
      </c>
      <c r="CA3059" t="s">
        <v>355</v>
      </c>
      <c r="CC3059" t="s">
        <v>351</v>
      </c>
      <c r="CD3059" s="5" t="s">
        <v>356</v>
      </c>
      <c r="CE3059" t="s">
        <v>107</v>
      </c>
      <c r="CF3059" s="3">
        <v>45952</v>
      </c>
      <c r="CI3059">
        <v>1</v>
      </c>
      <c r="CJ3059">
        <v>1</v>
      </c>
      <c r="CK3059">
        <v>43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"080068641650"</f>
        <v>080068641650</v>
      </c>
      <c r="F3060" s="3">
        <v>45951</v>
      </c>
      <c r="G3060">
        <v>202607</v>
      </c>
      <c r="H3060" t="s">
        <v>79</v>
      </c>
      <c r="I3060" t="s">
        <v>80</v>
      </c>
      <c r="J3060" t="s">
        <v>91</v>
      </c>
      <c r="K3060" t="s">
        <v>78</v>
      </c>
      <c r="L3060" t="s">
        <v>1095</v>
      </c>
      <c r="M3060" t="s">
        <v>1096</v>
      </c>
      <c r="N3060" t="s">
        <v>1197</v>
      </c>
      <c r="O3060" t="s">
        <v>95</v>
      </c>
      <c r="P3060" t="str">
        <f>"4170065086                    "</f>
        <v xml:space="preserve">4170065086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60.97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5.3</v>
      </c>
      <c r="BJ3060">
        <v>3.3</v>
      </c>
      <c r="BK3060">
        <v>6</v>
      </c>
      <c r="BL3060">
        <v>199.39</v>
      </c>
      <c r="BM3060">
        <v>29.91</v>
      </c>
      <c r="BN3060">
        <v>229.3</v>
      </c>
      <c r="BO3060">
        <v>229.3</v>
      </c>
      <c r="BQ3060" t="s">
        <v>1198</v>
      </c>
      <c r="BR3060" t="s">
        <v>97</v>
      </c>
      <c r="BS3060" s="3">
        <v>45952</v>
      </c>
      <c r="BT3060" s="4">
        <v>0.43402777777777779</v>
      </c>
      <c r="BU3060" t="s">
        <v>3409</v>
      </c>
      <c r="BV3060" t="s">
        <v>86</v>
      </c>
      <c r="BY3060">
        <v>16639.48</v>
      </c>
      <c r="BZ3060" t="s">
        <v>2096</v>
      </c>
      <c r="CA3060" t="s">
        <v>3076</v>
      </c>
      <c r="CC3060" t="s">
        <v>1096</v>
      </c>
      <c r="CD3060">
        <v>2302</v>
      </c>
      <c r="CE3060" t="s">
        <v>101</v>
      </c>
      <c r="CF3060" s="3">
        <v>45953</v>
      </c>
      <c r="CI3060">
        <v>1</v>
      </c>
      <c r="CJ3060">
        <v>1</v>
      </c>
      <c r="CK3060">
        <v>43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"080068644703"</f>
        <v>080068644703</v>
      </c>
      <c r="F3061" s="3">
        <v>45951</v>
      </c>
      <c r="G3061">
        <v>202607</v>
      </c>
      <c r="H3061" t="s">
        <v>79</v>
      </c>
      <c r="I3061" t="s">
        <v>80</v>
      </c>
      <c r="J3061" t="s">
        <v>91</v>
      </c>
      <c r="K3061" t="s">
        <v>78</v>
      </c>
      <c r="L3061" t="s">
        <v>350</v>
      </c>
      <c r="M3061" t="s">
        <v>351</v>
      </c>
      <c r="N3061" t="s">
        <v>352</v>
      </c>
      <c r="O3061" t="s">
        <v>95</v>
      </c>
      <c r="P3061" t="str">
        <f>"4170065139                    "</f>
        <v xml:space="preserve">4170065139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60.97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5.5</v>
      </c>
      <c r="BJ3061">
        <v>2.1</v>
      </c>
      <c r="BK3061">
        <v>6</v>
      </c>
      <c r="BL3061">
        <v>199.39</v>
      </c>
      <c r="BM3061">
        <v>29.91</v>
      </c>
      <c r="BN3061">
        <v>229.3</v>
      </c>
      <c r="BO3061">
        <v>229.3</v>
      </c>
      <c r="BQ3061" t="s">
        <v>353</v>
      </c>
      <c r="BR3061" t="s">
        <v>97</v>
      </c>
      <c r="BS3061" s="3">
        <v>45952</v>
      </c>
      <c r="BT3061" s="4">
        <v>0.40972222222222221</v>
      </c>
      <c r="BU3061" t="s">
        <v>354</v>
      </c>
      <c r="BV3061" t="s">
        <v>86</v>
      </c>
      <c r="BY3061">
        <v>10694.52</v>
      </c>
      <c r="BZ3061" t="s">
        <v>2096</v>
      </c>
      <c r="CA3061" t="s">
        <v>355</v>
      </c>
      <c r="CC3061" t="s">
        <v>351</v>
      </c>
      <c r="CD3061" s="5" t="s">
        <v>356</v>
      </c>
      <c r="CE3061" t="s">
        <v>107</v>
      </c>
      <c r="CF3061" s="3">
        <v>45953</v>
      </c>
      <c r="CI3061">
        <v>1</v>
      </c>
      <c r="CJ3061">
        <v>1</v>
      </c>
      <c r="CK3061">
        <v>43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"080068645998"</f>
        <v>080068645998</v>
      </c>
      <c r="F3062" s="3">
        <v>45951</v>
      </c>
      <c r="G3062">
        <v>202607</v>
      </c>
      <c r="H3062" t="s">
        <v>79</v>
      </c>
      <c r="I3062" t="s">
        <v>80</v>
      </c>
      <c r="J3062" t="s">
        <v>91</v>
      </c>
      <c r="K3062" t="s">
        <v>78</v>
      </c>
      <c r="L3062" t="s">
        <v>350</v>
      </c>
      <c r="M3062" t="s">
        <v>351</v>
      </c>
      <c r="N3062" t="s">
        <v>2636</v>
      </c>
      <c r="O3062" t="s">
        <v>95</v>
      </c>
      <c r="P3062" t="str">
        <f>"4170065199                    "</f>
        <v xml:space="preserve">4170065199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60.97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4.9000000000000004</v>
      </c>
      <c r="BJ3062">
        <v>1.5</v>
      </c>
      <c r="BK3062">
        <v>5</v>
      </c>
      <c r="BL3062">
        <v>199.39</v>
      </c>
      <c r="BM3062">
        <v>29.91</v>
      </c>
      <c r="BN3062">
        <v>229.3</v>
      </c>
      <c r="BO3062">
        <v>229.3</v>
      </c>
      <c r="BQ3062" t="s">
        <v>2637</v>
      </c>
      <c r="BR3062" t="s">
        <v>97</v>
      </c>
      <c r="BS3062" s="3">
        <v>45952</v>
      </c>
      <c r="BT3062" s="4">
        <v>0.40694444444444444</v>
      </c>
      <c r="BU3062" t="s">
        <v>2638</v>
      </c>
      <c r="BV3062" t="s">
        <v>86</v>
      </c>
      <c r="BY3062">
        <v>7382.25</v>
      </c>
      <c r="BZ3062" t="s">
        <v>2096</v>
      </c>
      <c r="CA3062" t="s">
        <v>2097</v>
      </c>
      <c r="CC3062" t="s">
        <v>351</v>
      </c>
      <c r="CD3062" s="5" t="s">
        <v>356</v>
      </c>
      <c r="CE3062" t="s">
        <v>101</v>
      </c>
      <c r="CF3062" s="3">
        <v>45953</v>
      </c>
      <c r="CI3062">
        <v>1</v>
      </c>
      <c r="CJ3062">
        <v>1</v>
      </c>
      <c r="CK3062">
        <v>43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"080068646203"</f>
        <v>080068646203</v>
      </c>
      <c r="F3063" s="3">
        <v>45951</v>
      </c>
      <c r="G3063">
        <v>202607</v>
      </c>
      <c r="H3063" t="s">
        <v>79</v>
      </c>
      <c r="I3063" t="s">
        <v>80</v>
      </c>
      <c r="J3063" t="s">
        <v>91</v>
      </c>
      <c r="K3063" t="s">
        <v>78</v>
      </c>
      <c r="L3063" t="s">
        <v>239</v>
      </c>
      <c r="M3063" t="s">
        <v>240</v>
      </c>
      <c r="N3063" t="s">
        <v>526</v>
      </c>
      <c r="O3063" t="s">
        <v>95</v>
      </c>
      <c r="P3063" t="str">
        <f>"4170065193                    "</f>
        <v xml:space="preserve">4170065193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60.97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6.7</v>
      </c>
      <c r="BJ3063">
        <v>3.7</v>
      </c>
      <c r="BK3063">
        <v>7</v>
      </c>
      <c r="BL3063">
        <v>199.39</v>
      </c>
      <c r="BM3063">
        <v>29.91</v>
      </c>
      <c r="BN3063">
        <v>229.3</v>
      </c>
      <c r="BO3063">
        <v>229.3</v>
      </c>
      <c r="BQ3063" t="s">
        <v>527</v>
      </c>
      <c r="BR3063" t="s">
        <v>97</v>
      </c>
      <c r="BS3063" s="3">
        <v>45952</v>
      </c>
      <c r="BT3063" s="4">
        <v>0.39027777777777778</v>
      </c>
      <c r="BU3063" t="s">
        <v>528</v>
      </c>
      <c r="BV3063" t="s">
        <v>86</v>
      </c>
      <c r="BY3063">
        <v>18288</v>
      </c>
      <c r="BZ3063" t="s">
        <v>2096</v>
      </c>
      <c r="CA3063" t="s">
        <v>529</v>
      </c>
      <c r="CC3063" t="s">
        <v>240</v>
      </c>
      <c r="CD3063" s="5" t="s">
        <v>245</v>
      </c>
      <c r="CE3063" t="s">
        <v>101</v>
      </c>
      <c r="CF3063" s="3">
        <v>45953</v>
      </c>
      <c r="CI3063">
        <v>1</v>
      </c>
      <c r="CJ3063">
        <v>1</v>
      </c>
      <c r="CK3063">
        <v>43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"080068650279"</f>
        <v>080068650279</v>
      </c>
      <c r="F3064" s="3">
        <v>45951</v>
      </c>
      <c r="G3064">
        <v>202607</v>
      </c>
      <c r="H3064" t="s">
        <v>79</v>
      </c>
      <c r="I3064" t="s">
        <v>80</v>
      </c>
      <c r="J3064" t="s">
        <v>91</v>
      </c>
      <c r="K3064" t="s">
        <v>78</v>
      </c>
      <c r="L3064" t="s">
        <v>350</v>
      </c>
      <c r="M3064" t="s">
        <v>351</v>
      </c>
      <c r="N3064" t="s">
        <v>2636</v>
      </c>
      <c r="O3064" t="s">
        <v>95</v>
      </c>
      <c r="P3064" t="str">
        <f>"4170065230                    "</f>
        <v xml:space="preserve">4170065230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60.97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5.3</v>
      </c>
      <c r="BJ3064">
        <v>3.4</v>
      </c>
      <c r="BK3064">
        <v>6</v>
      </c>
      <c r="BL3064">
        <v>199.39</v>
      </c>
      <c r="BM3064">
        <v>29.91</v>
      </c>
      <c r="BN3064">
        <v>229.3</v>
      </c>
      <c r="BO3064">
        <v>229.3</v>
      </c>
      <c r="BQ3064" t="s">
        <v>2637</v>
      </c>
      <c r="BR3064" t="s">
        <v>97</v>
      </c>
      <c r="BS3064" s="3">
        <v>45952</v>
      </c>
      <c r="BT3064" s="4">
        <v>0.40833333333333333</v>
      </c>
      <c r="BU3064" t="s">
        <v>2638</v>
      </c>
      <c r="BV3064" t="s">
        <v>86</v>
      </c>
      <c r="BY3064">
        <v>17052.599999999999</v>
      </c>
      <c r="BZ3064" t="s">
        <v>2096</v>
      </c>
      <c r="CA3064" t="s">
        <v>2097</v>
      </c>
      <c r="CC3064" t="s">
        <v>351</v>
      </c>
      <c r="CD3064" s="5" t="s">
        <v>356</v>
      </c>
      <c r="CE3064" t="s">
        <v>101</v>
      </c>
      <c r="CF3064" s="3">
        <v>45953</v>
      </c>
      <c r="CI3064">
        <v>1</v>
      </c>
      <c r="CJ3064">
        <v>1</v>
      </c>
      <c r="CK3064">
        <v>43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"080068674566"</f>
        <v>080068674566</v>
      </c>
      <c r="F3065" s="3">
        <v>45952</v>
      </c>
      <c r="G3065">
        <v>202607</v>
      </c>
      <c r="H3065" t="s">
        <v>79</v>
      </c>
      <c r="I3065" t="s">
        <v>80</v>
      </c>
      <c r="J3065" t="s">
        <v>91</v>
      </c>
      <c r="K3065" t="s">
        <v>78</v>
      </c>
      <c r="L3065" t="s">
        <v>1095</v>
      </c>
      <c r="M3065" t="s">
        <v>1096</v>
      </c>
      <c r="N3065" t="s">
        <v>1197</v>
      </c>
      <c r="O3065" t="s">
        <v>95</v>
      </c>
      <c r="P3065" t="str">
        <f>"4170065547                    "</f>
        <v xml:space="preserve">4170065547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60.97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5</v>
      </c>
      <c r="BJ3065">
        <v>3.4</v>
      </c>
      <c r="BK3065">
        <v>5</v>
      </c>
      <c r="BL3065">
        <v>199.39</v>
      </c>
      <c r="BM3065">
        <v>29.91</v>
      </c>
      <c r="BN3065">
        <v>229.3</v>
      </c>
      <c r="BO3065">
        <v>229.3</v>
      </c>
      <c r="BQ3065" t="s">
        <v>1198</v>
      </c>
      <c r="BR3065" t="s">
        <v>97</v>
      </c>
      <c r="BS3065" s="3">
        <v>45953</v>
      </c>
      <c r="BT3065" s="4">
        <v>0.43402777777777779</v>
      </c>
      <c r="BU3065" t="s">
        <v>3075</v>
      </c>
      <c r="BV3065" t="s">
        <v>86</v>
      </c>
      <c r="BY3065">
        <v>16965</v>
      </c>
      <c r="BZ3065" t="s">
        <v>2096</v>
      </c>
      <c r="CA3065" t="s">
        <v>3076</v>
      </c>
      <c r="CC3065" t="s">
        <v>1096</v>
      </c>
      <c r="CD3065">
        <v>2302</v>
      </c>
      <c r="CE3065" t="s">
        <v>101</v>
      </c>
      <c r="CF3065" s="3">
        <v>45954</v>
      </c>
      <c r="CI3065">
        <v>1</v>
      </c>
      <c r="CJ3065">
        <v>1</v>
      </c>
      <c r="CK3065">
        <v>43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"080068678825"</f>
        <v>080068678825</v>
      </c>
      <c r="F3066" s="3">
        <v>45952</v>
      </c>
      <c r="G3066">
        <v>202607</v>
      </c>
      <c r="H3066" t="s">
        <v>79</v>
      </c>
      <c r="I3066" t="s">
        <v>80</v>
      </c>
      <c r="J3066" t="s">
        <v>91</v>
      </c>
      <c r="K3066" t="s">
        <v>78</v>
      </c>
      <c r="L3066" t="s">
        <v>1448</v>
      </c>
      <c r="M3066" t="s">
        <v>1449</v>
      </c>
      <c r="N3066" t="s">
        <v>2079</v>
      </c>
      <c r="O3066" t="s">
        <v>95</v>
      </c>
      <c r="P3066" t="str">
        <f>"4170065489                    "</f>
        <v xml:space="preserve">4170065489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60.97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2</v>
      </c>
      <c r="BJ3066">
        <v>8.6</v>
      </c>
      <c r="BK3066">
        <v>9</v>
      </c>
      <c r="BL3066">
        <v>199.39</v>
      </c>
      <c r="BM3066">
        <v>29.91</v>
      </c>
      <c r="BN3066">
        <v>229.3</v>
      </c>
      <c r="BO3066">
        <v>229.3</v>
      </c>
      <c r="BQ3066" t="s">
        <v>2080</v>
      </c>
      <c r="BR3066" t="s">
        <v>97</v>
      </c>
      <c r="BS3066" s="3">
        <v>45953</v>
      </c>
      <c r="BT3066" s="4">
        <v>0.56319444444444444</v>
      </c>
      <c r="BU3066" t="s">
        <v>3140</v>
      </c>
      <c r="BV3066" t="s">
        <v>86</v>
      </c>
      <c r="BY3066">
        <v>43200</v>
      </c>
      <c r="BZ3066" t="s">
        <v>2096</v>
      </c>
      <c r="CA3066" t="s">
        <v>1453</v>
      </c>
      <c r="CC3066" t="s">
        <v>1449</v>
      </c>
      <c r="CD3066" s="5" t="s">
        <v>1454</v>
      </c>
      <c r="CE3066" t="s">
        <v>101</v>
      </c>
      <c r="CF3066" s="3">
        <v>45954</v>
      </c>
      <c r="CI3066">
        <v>2</v>
      </c>
      <c r="CJ3066">
        <v>1</v>
      </c>
      <c r="CK3066">
        <v>43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"080068678885"</f>
        <v>080068678885</v>
      </c>
      <c r="F3067" s="3">
        <v>45952</v>
      </c>
      <c r="G3067">
        <v>202607</v>
      </c>
      <c r="H3067" t="s">
        <v>79</v>
      </c>
      <c r="I3067" t="s">
        <v>80</v>
      </c>
      <c r="J3067" t="s">
        <v>91</v>
      </c>
      <c r="K3067" t="s">
        <v>78</v>
      </c>
      <c r="L3067" t="s">
        <v>1448</v>
      </c>
      <c r="M3067" t="s">
        <v>1449</v>
      </c>
      <c r="N3067" t="s">
        <v>2079</v>
      </c>
      <c r="O3067" t="s">
        <v>95</v>
      </c>
      <c r="P3067" t="str">
        <f>"4170065488                    "</f>
        <v xml:space="preserve">4170065488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60.97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</v>
      </c>
      <c r="BJ3067">
        <v>8.6</v>
      </c>
      <c r="BK3067">
        <v>9</v>
      </c>
      <c r="BL3067">
        <v>199.39</v>
      </c>
      <c r="BM3067">
        <v>29.91</v>
      </c>
      <c r="BN3067">
        <v>229.3</v>
      </c>
      <c r="BO3067">
        <v>229.3</v>
      </c>
      <c r="BQ3067" t="s">
        <v>2080</v>
      </c>
      <c r="BR3067" t="s">
        <v>97</v>
      </c>
      <c r="BS3067" s="3">
        <v>45953</v>
      </c>
      <c r="BT3067" s="4">
        <v>0.56388888888888888</v>
      </c>
      <c r="BU3067" t="s">
        <v>3140</v>
      </c>
      <c r="BV3067" t="s">
        <v>86</v>
      </c>
      <c r="BY3067">
        <v>43200</v>
      </c>
      <c r="BZ3067" t="s">
        <v>2096</v>
      </c>
      <c r="CA3067" t="s">
        <v>1453</v>
      </c>
      <c r="CC3067" t="s">
        <v>1449</v>
      </c>
      <c r="CD3067" s="5" t="s">
        <v>1454</v>
      </c>
      <c r="CE3067" t="s">
        <v>101</v>
      </c>
      <c r="CF3067" s="3">
        <v>45954</v>
      </c>
      <c r="CI3067">
        <v>2</v>
      </c>
      <c r="CJ3067">
        <v>1</v>
      </c>
      <c r="CK3067">
        <v>43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"080068693464"</f>
        <v>080068693464</v>
      </c>
      <c r="F3068" s="3">
        <v>45953</v>
      </c>
      <c r="G3068">
        <v>202607</v>
      </c>
      <c r="H3068" t="s">
        <v>79</v>
      </c>
      <c r="I3068" t="s">
        <v>80</v>
      </c>
      <c r="J3068" t="s">
        <v>91</v>
      </c>
      <c r="K3068" t="s">
        <v>78</v>
      </c>
      <c r="L3068" t="s">
        <v>350</v>
      </c>
      <c r="M3068" t="s">
        <v>351</v>
      </c>
      <c r="N3068" t="s">
        <v>2636</v>
      </c>
      <c r="O3068" t="s">
        <v>95</v>
      </c>
      <c r="P3068" t="str">
        <f>"4170065687                    "</f>
        <v xml:space="preserve">4170065687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60.97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3.2</v>
      </c>
      <c r="BJ3068">
        <v>2.9</v>
      </c>
      <c r="BK3068">
        <v>4</v>
      </c>
      <c r="BL3068">
        <v>199.39</v>
      </c>
      <c r="BM3068">
        <v>29.91</v>
      </c>
      <c r="BN3068">
        <v>229.3</v>
      </c>
      <c r="BO3068">
        <v>229.3</v>
      </c>
      <c r="BQ3068" t="s">
        <v>2637</v>
      </c>
      <c r="BR3068" t="s">
        <v>97</v>
      </c>
      <c r="BS3068" s="3">
        <v>45954</v>
      </c>
      <c r="BT3068" s="4">
        <v>0.42499999999999999</v>
      </c>
      <c r="BU3068" t="s">
        <v>3260</v>
      </c>
      <c r="BV3068" t="s">
        <v>86</v>
      </c>
      <c r="BY3068">
        <v>14682.78</v>
      </c>
      <c r="BZ3068" t="s">
        <v>2096</v>
      </c>
      <c r="CA3068" t="s">
        <v>2097</v>
      </c>
      <c r="CC3068" t="s">
        <v>351</v>
      </c>
      <c r="CD3068" s="5" t="s">
        <v>356</v>
      </c>
      <c r="CE3068" t="s">
        <v>101</v>
      </c>
      <c r="CF3068" s="3">
        <v>45957</v>
      </c>
      <c r="CI3068">
        <v>1</v>
      </c>
      <c r="CJ3068">
        <v>1</v>
      </c>
      <c r="CK3068">
        <v>43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"080068694985"</f>
        <v>080068694985</v>
      </c>
      <c r="F3069" s="3">
        <v>45953</v>
      </c>
      <c r="G3069">
        <v>202607</v>
      </c>
      <c r="H3069" t="s">
        <v>79</v>
      </c>
      <c r="I3069" t="s">
        <v>80</v>
      </c>
      <c r="J3069" t="s">
        <v>91</v>
      </c>
      <c r="K3069" t="s">
        <v>78</v>
      </c>
      <c r="L3069" t="s">
        <v>1095</v>
      </c>
      <c r="M3069" t="s">
        <v>1096</v>
      </c>
      <c r="N3069" t="s">
        <v>1197</v>
      </c>
      <c r="O3069" t="s">
        <v>95</v>
      </c>
      <c r="P3069" t="str">
        <f>"4170065864                    "</f>
        <v xml:space="preserve">4170065864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60.97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3.4</v>
      </c>
      <c r="BK3069">
        <v>4</v>
      </c>
      <c r="BL3069">
        <v>199.39</v>
      </c>
      <c r="BM3069">
        <v>29.91</v>
      </c>
      <c r="BN3069">
        <v>229.3</v>
      </c>
      <c r="BO3069">
        <v>229.3</v>
      </c>
      <c r="BQ3069" t="s">
        <v>1198</v>
      </c>
      <c r="BR3069" t="s">
        <v>97</v>
      </c>
      <c r="BS3069" s="3">
        <v>45954</v>
      </c>
      <c r="BT3069" s="4">
        <v>0.53749999999999998</v>
      </c>
      <c r="BU3069" t="s">
        <v>3253</v>
      </c>
      <c r="BV3069" t="s">
        <v>86</v>
      </c>
      <c r="BY3069">
        <v>16965</v>
      </c>
      <c r="BZ3069" t="s">
        <v>2096</v>
      </c>
      <c r="CA3069" t="s">
        <v>3076</v>
      </c>
      <c r="CC3069" t="s">
        <v>1096</v>
      </c>
      <c r="CD3069">
        <v>2302</v>
      </c>
      <c r="CE3069" t="s">
        <v>101</v>
      </c>
      <c r="CF3069" s="3">
        <v>45954</v>
      </c>
      <c r="CI3069">
        <v>1</v>
      </c>
      <c r="CJ3069">
        <v>1</v>
      </c>
      <c r="CK3069">
        <v>43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"080068697999"</f>
        <v>080068697999</v>
      </c>
      <c r="F3070" s="3">
        <v>45953</v>
      </c>
      <c r="G3070">
        <v>202607</v>
      </c>
      <c r="H3070" t="s">
        <v>79</v>
      </c>
      <c r="I3070" t="s">
        <v>80</v>
      </c>
      <c r="J3070" t="s">
        <v>91</v>
      </c>
      <c r="K3070" t="s">
        <v>78</v>
      </c>
      <c r="L3070" t="s">
        <v>350</v>
      </c>
      <c r="M3070" t="s">
        <v>351</v>
      </c>
      <c r="N3070" t="s">
        <v>2636</v>
      </c>
      <c r="O3070" t="s">
        <v>95</v>
      </c>
      <c r="P3070" t="str">
        <f>"4170065629                    "</f>
        <v xml:space="preserve">4170065629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60.97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4.0999999999999996</v>
      </c>
      <c r="BJ3070">
        <v>1.8</v>
      </c>
      <c r="BK3070">
        <v>5</v>
      </c>
      <c r="BL3070">
        <v>199.39</v>
      </c>
      <c r="BM3070">
        <v>29.91</v>
      </c>
      <c r="BN3070">
        <v>229.3</v>
      </c>
      <c r="BO3070">
        <v>229.3</v>
      </c>
      <c r="BQ3070" t="s">
        <v>2637</v>
      </c>
      <c r="BR3070" t="s">
        <v>97</v>
      </c>
      <c r="BS3070" s="3">
        <v>45954</v>
      </c>
      <c r="BT3070" s="4">
        <v>0.39791666666666664</v>
      </c>
      <c r="BU3070" t="s">
        <v>3260</v>
      </c>
      <c r="BV3070" t="s">
        <v>86</v>
      </c>
      <c r="BY3070">
        <v>9074.44</v>
      </c>
      <c r="BZ3070" t="s">
        <v>2096</v>
      </c>
      <c r="CA3070" t="s">
        <v>2097</v>
      </c>
      <c r="CC3070" t="s">
        <v>351</v>
      </c>
      <c r="CD3070" s="5" t="s">
        <v>356</v>
      </c>
      <c r="CE3070" t="s">
        <v>101</v>
      </c>
      <c r="CF3070" s="3">
        <v>45957</v>
      </c>
      <c r="CI3070">
        <v>1</v>
      </c>
      <c r="CJ3070">
        <v>1</v>
      </c>
      <c r="CK3070">
        <v>43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"080068748613"</f>
        <v>080068748613</v>
      </c>
      <c r="F3071" s="3">
        <v>45957</v>
      </c>
      <c r="G3071">
        <v>202607</v>
      </c>
      <c r="H3071" t="s">
        <v>79</v>
      </c>
      <c r="I3071" t="s">
        <v>80</v>
      </c>
      <c r="J3071" t="s">
        <v>91</v>
      </c>
      <c r="K3071" t="s">
        <v>78</v>
      </c>
      <c r="L3071" t="s">
        <v>121</v>
      </c>
      <c r="M3071" t="s">
        <v>122</v>
      </c>
      <c r="N3071" t="s">
        <v>123</v>
      </c>
      <c r="O3071" t="s">
        <v>82</v>
      </c>
      <c r="P3071" t="str">
        <f>"4170066135                    "</f>
        <v xml:space="preserve">4170066135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33.520000000000003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3</v>
      </c>
      <c r="BK3071">
        <v>3</v>
      </c>
      <c r="BL3071">
        <v>106.4</v>
      </c>
      <c r="BM3071">
        <v>15.96</v>
      </c>
      <c r="BN3071">
        <v>122.36</v>
      </c>
      <c r="BO3071">
        <v>122.36</v>
      </c>
      <c r="BQ3071" t="s">
        <v>124</v>
      </c>
      <c r="BR3071" t="s">
        <v>97</v>
      </c>
      <c r="BS3071" s="3">
        <v>45958</v>
      </c>
      <c r="BT3071" s="4">
        <v>0.35625000000000001</v>
      </c>
      <c r="BU3071" t="s">
        <v>1611</v>
      </c>
      <c r="BV3071" t="s">
        <v>86</v>
      </c>
      <c r="BY3071">
        <v>15228</v>
      </c>
      <c r="CA3071" t="s">
        <v>126</v>
      </c>
      <c r="CC3071" t="s">
        <v>122</v>
      </c>
      <c r="CD3071">
        <v>4051</v>
      </c>
      <c r="CE3071" t="s">
        <v>107</v>
      </c>
      <c r="CF3071" s="3">
        <v>45959</v>
      </c>
      <c r="CI3071">
        <v>1</v>
      </c>
      <c r="CJ3071">
        <v>1</v>
      </c>
      <c r="CK3071">
        <v>21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"080068748781"</f>
        <v>080068748781</v>
      </c>
      <c r="F3072" s="3">
        <v>45957</v>
      </c>
      <c r="G3072">
        <v>202607</v>
      </c>
      <c r="H3072" t="s">
        <v>79</v>
      </c>
      <c r="I3072" t="s">
        <v>80</v>
      </c>
      <c r="J3072" t="s">
        <v>91</v>
      </c>
      <c r="K3072" t="s">
        <v>78</v>
      </c>
      <c r="L3072" t="s">
        <v>206</v>
      </c>
      <c r="M3072" t="s">
        <v>207</v>
      </c>
      <c r="N3072" t="s">
        <v>656</v>
      </c>
      <c r="O3072" t="s">
        <v>82</v>
      </c>
      <c r="P3072" t="str">
        <f>"4170066113                    "</f>
        <v xml:space="preserve">4170066113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22.36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2</v>
      </c>
      <c r="BJ3072">
        <v>1.9</v>
      </c>
      <c r="BK3072">
        <v>2</v>
      </c>
      <c r="BL3072">
        <v>70.959999999999994</v>
      </c>
      <c r="BM3072">
        <v>10.64</v>
      </c>
      <c r="BN3072">
        <v>81.599999999999994</v>
      </c>
      <c r="BO3072">
        <v>81.599999999999994</v>
      </c>
      <c r="BQ3072" t="s">
        <v>657</v>
      </c>
      <c r="BR3072" t="s">
        <v>97</v>
      </c>
      <c r="BS3072" s="3">
        <v>45958</v>
      </c>
      <c r="BT3072" s="4">
        <v>0.41180555555555554</v>
      </c>
      <c r="BU3072" t="s">
        <v>658</v>
      </c>
      <c r="BV3072" t="s">
        <v>86</v>
      </c>
      <c r="BY3072">
        <v>9600</v>
      </c>
      <c r="CA3072" t="s">
        <v>211</v>
      </c>
      <c r="CC3072" t="s">
        <v>207</v>
      </c>
      <c r="CD3072">
        <v>7441</v>
      </c>
      <c r="CE3072" t="s">
        <v>191</v>
      </c>
      <c r="CF3072" s="3">
        <v>45959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"080068748935"</f>
        <v>080068748935</v>
      </c>
      <c r="F3073" s="3">
        <v>45957</v>
      </c>
      <c r="G3073">
        <v>202607</v>
      </c>
      <c r="H3073" t="s">
        <v>79</v>
      </c>
      <c r="I3073" t="s">
        <v>80</v>
      </c>
      <c r="J3073" t="s">
        <v>91</v>
      </c>
      <c r="K3073" t="s">
        <v>78</v>
      </c>
      <c r="L3073" t="s">
        <v>281</v>
      </c>
      <c r="M3073" t="s">
        <v>282</v>
      </c>
      <c r="N3073" t="s">
        <v>3410</v>
      </c>
      <c r="O3073" t="s">
        <v>226</v>
      </c>
      <c r="P3073" t="str">
        <f>"4170066229                    "</f>
        <v xml:space="preserve">4170066229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122.78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5.0999999999999996</v>
      </c>
      <c r="BJ3073">
        <v>3.8</v>
      </c>
      <c r="BK3073">
        <v>5.5</v>
      </c>
      <c r="BL3073">
        <v>389.7</v>
      </c>
      <c r="BM3073">
        <v>58.46</v>
      </c>
      <c r="BN3073">
        <v>448.16</v>
      </c>
      <c r="BO3073">
        <v>448.16</v>
      </c>
      <c r="BQ3073" t="s">
        <v>3411</v>
      </c>
      <c r="BR3073" t="s">
        <v>97</v>
      </c>
      <c r="BS3073" s="3">
        <v>45958</v>
      </c>
      <c r="BT3073" s="4">
        <v>0.54166666666666663</v>
      </c>
      <c r="BU3073" t="s">
        <v>3412</v>
      </c>
      <c r="BV3073" t="s">
        <v>86</v>
      </c>
      <c r="BY3073">
        <v>18810</v>
      </c>
      <c r="CA3073" t="s">
        <v>2018</v>
      </c>
      <c r="CC3073" t="s">
        <v>282</v>
      </c>
      <c r="CD3073">
        <v>1871</v>
      </c>
      <c r="CE3073" t="s">
        <v>107</v>
      </c>
      <c r="CF3073" s="3">
        <v>45959</v>
      </c>
      <c r="CI3073">
        <v>1</v>
      </c>
      <c r="CJ3073">
        <v>1</v>
      </c>
      <c r="CK3073">
        <v>33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"080068749373"</f>
        <v>080068749373</v>
      </c>
      <c r="F3074" s="3">
        <v>45957</v>
      </c>
      <c r="G3074">
        <v>202607</v>
      </c>
      <c r="H3074" t="s">
        <v>79</v>
      </c>
      <c r="I3074" t="s">
        <v>80</v>
      </c>
      <c r="J3074" t="s">
        <v>91</v>
      </c>
      <c r="K3074" t="s">
        <v>78</v>
      </c>
      <c r="L3074" t="s">
        <v>108</v>
      </c>
      <c r="M3074" t="s">
        <v>109</v>
      </c>
      <c r="N3074" t="s">
        <v>365</v>
      </c>
      <c r="O3074" t="s">
        <v>82</v>
      </c>
      <c r="P3074" t="str">
        <f>"4170066150                    "</f>
        <v xml:space="preserve">4170066150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22.36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70.959999999999994</v>
      </c>
      <c r="BM3074">
        <v>10.64</v>
      </c>
      <c r="BN3074">
        <v>81.599999999999994</v>
      </c>
      <c r="BO3074">
        <v>81.599999999999994</v>
      </c>
      <c r="BQ3074" t="s">
        <v>366</v>
      </c>
      <c r="BR3074" t="s">
        <v>97</v>
      </c>
      <c r="BS3074" s="3">
        <v>45958</v>
      </c>
      <c r="BT3074" s="4">
        <v>0.39930555555555558</v>
      </c>
      <c r="BU3074" t="s">
        <v>3413</v>
      </c>
      <c r="BV3074" t="s">
        <v>86</v>
      </c>
      <c r="BY3074">
        <v>1200</v>
      </c>
      <c r="CA3074" t="s">
        <v>1145</v>
      </c>
      <c r="CC3074" t="s">
        <v>109</v>
      </c>
      <c r="CD3074">
        <v>6056</v>
      </c>
      <c r="CE3074" t="s">
        <v>147</v>
      </c>
      <c r="CF3074" s="3">
        <v>45958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"080068749406"</f>
        <v>080068749406</v>
      </c>
      <c r="F3075" s="3">
        <v>45957</v>
      </c>
      <c r="G3075">
        <v>202607</v>
      </c>
      <c r="H3075" t="s">
        <v>79</v>
      </c>
      <c r="I3075" t="s">
        <v>80</v>
      </c>
      <c r="J3075" t="s">
        <v>91</v>
      </c>
      <c r="K3075" t="s">
        <v>78</v>
      </c>
      <c r="L3075" t="s">
        <v>265</v>
      </c>
      <c r="M3075" t="s">
        <v>266</v>
      </c>
      <c r="N3075" t="s">
        <v>536</v>
      </c>
      <c r="O3075" t="s">
        <v>82</v>
      </c>
      <c r="P3075" t="str">
        <f>"4170066163                    "</f>
        <v xml:space="preserve">4170066163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22.36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70.959999999999994</v>
      </c>
      <c r="BM3075">
        <v>10.64</v>
      </c>
      <c r="BN3075">
        <v>81.599999999999994</v>
      </c>
      <c r="BO3075">
        <v>81.599999999999994</v>
      </c>
      <c r="BQ3075" t="s">
        <v>537</v>
      </c>
      <c r="BR3075" t="s">
        <v>97</v>
      </c>
      <c r="BS3075" s="3">
        <v>45958</v>
      </c>
      <c r="BT3075" s="4">
        <v>0.33402777777777776</v>
      </c>
      <c r="BU3075" t="s">
        <v>258</v>
      </c>
      <c r="BV3075" t="s">
        <v>86</v>
      </c>
      <c r="BY3075">
        <v>1200</v>
      </c>
      <c r="CA3075" t="s">
        <v>818</v>
      </c>
      <c r="CC3075" t="s">
        <v>266</v>
      </c>
      <c r="CD3075">
        <v>6230</v>
      </c>
      <c r="CE3075" t="s">
        <v>147</v>
      </c>
      <c r="CF3075" s="3">
        <v>45958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"080068749438"</f>
        <v>080068749438</v>
      </c>
      <c r="F3076" s="3">
        <v>45957</v>
      </c>
      <c r="G3076">
        <v>202607</v>
      </c>
      <c r="H3076" t="s">
        <v>79</v>
      </c>
      <c r="I3076" t="s">
        <v>80</v>
      </c>
      <c r="J3076" t="s">
        <v>91</v>
      </c>
      <c r="K3076" t="s">
        <v>78</v>
      </c>
      <c r="L3076" t="s">
        <v>1586</v>
      </c>
      <c r="M3076" t="s">
        <v>1587</v>
      </c>
      <c r="N3076" t="s">
        <v>2753</v>
      </c>
      <c r="O3076" t="s">
        <v>82</v>
      </c>
      <c r="P3076" t="str">
        <f>"4170066173                    "</f>
        <v xml:space="preserve">4170066173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22.36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70.959999999999994</v>
      </c>
      <c r="BM3076">
        <v>10.64</v>
      </c>
      <c r="BN3076">
        <v>81.599999999999994</v>
      </c>
      <c r="BO3076">
        <v>81.599999999999994</v>
      </c>
      <c r="BQ3076" t="s">
        <v>2754</v>
      </c>
      <c r="BR3076" t="s">
        <v>97</v>
      </c>
      <c r="BS3076" s="3">
        <v>45958</v>
      </c>
      <c r="BT3076" s="4">
        <v>0.3923611111111111</v>
      </c>
      <c r="BU3076" t="s">
        <v>3414</v>
      </c>
      <c r="BV3076" t="s">
        <v>86</v>
      </c>
      <c r="BY3076">
        <v>1200</v>
      </c>
      <c r="CA3076" t="s">
        <v>2756</v>
      </c>
      <c r="CC3076" t="s">
        <v>1587</v>
      </c>
      <c r="CD3076">
        <v>4300</v>
      </c>
      <c r="CE3076" t="s">
        <v>147</v>
      </c>
      <c r="CF3076" s="3">
        <v>45959</v>
      </c>
      <c r="CI3076">
        <v>1</v>
      </c>
      <c r="CJ3076">
        <v>1</v>
      </c>
      <c r="CK3076">
        <v>21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"080068749496"</f>
        <v>080068749496</v>
      </c>
      <c r="F3077" s="3">
        <v>45957</v>
      </c>
      <c r="G3077">
        <v>202607</v>
      </c>
      <c r="H3077" t="s">
        <v>79</v>
      </c>
      <c r="I3077" t="s">
        <v>80</v>
      </c>
      <c r="J3077" t="s">
        <v>91</v>
      </c>
      <c r="K3077" t="s">
        <v>78</v>
      </c>
      <c r="L3077" t="s">
        <v>108</v>
      </c>
      <c r="M3077" t="s">
        <v>109</v>
      </c>
      <c r="N3077" t="s">
        <v>365</v>
      </c>
      <c r="O3077" t="s">
        <v>82</v>
      </c>
      <c r="P3077" t="str">
        <f>"4170066215                    "</f>
        <v xml:space="preserve">4170066215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67.03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2</v>
      </c>
      <c r="BI3077">
        <v>4.2</v>
      </c>
      <c r="BJ3077">
        <v>5.8</v>
      </c>
      <c r="BK3077">
        <v>6</v>
      </c>
      <c r="BL3077">
        <v>212.75</v>
      </c>
      <c r="BM3077">
        <v>31.91</v>
      </c>
      <c r="BN3077">
        <v>244.66</v>
      </c>
      <c r="BO3077">
        <v>244.66</v>
      </c>
      <c r="BQ3077" t="s">
        <v>366</v>
      </c>
      <c r="BR3077" t="s">
        <v>97</v>
      </c>
      <c r="BS3077" s="3">
        <v>45958</v>
      </c>
      <c r="BT3077" s="4">
        <v>0.4</v>
      </c>
      <c r="BU3077" t="s">
        <v>3413</v>
      </c>
      <c r="BV3077" t="s">
        <v>86</v>
      </c>
      <c r="BY3077">
        <v>28873.54</v>
      </c>
      <c r="CA3077" t="s">
        <v>1145</v>
      </c>
      <c r="CC3077" t="s">
        <v>109</v>
      </c>
      <c r="CD3077">
        <v>6056</v>
      </c>
      <c r="CE3077" t="s">
        <v>147</v>
      </c>
      <c r="CF3077" s="3">
        <v>45958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"080068749554"</f>
        <v>080068749554</v>
      </c>
      <c r="F3078" s="3">
        <v>45957</v>
      </c>
      <c r="G3078">
        <v>202607</v>
      </c>
      <c r="H3078" t="s">
        <v>79</v>
      </c>
      <c r="I3078" t="s">
        <v>80</v>
      </c>
      <c r="J3078" t="s">
        <v>91</v>
      </c>
      <c r="K3078" t="s">
        <v>78</v>
      </c>
      <c r="L3078" t="s">
        <v>530</v>
      </c>
      <c r="M3078" t="s">
        <v>531</v>
      </c>
      <c r="N3078" t="s">
        <v>754</v>
      </c>
      <c r="O3078" t="s">
        <v>95</v>
      </c>
      <c r="P3078" t="str">
        <f>"4170066231                    "</f>
        <v xml:space="preserve">4170066231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60.97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6.2</v>
      </c>
      <c r="BJ3078">
        <v>5.2</v>
      </c>
      <c r="BK3078">
        <v>7</v>
      </c>
      <c r="BL3078">
        <v>199.39</v>
      </c>
      <c r="BM3078">
        <v>29.91</v>
      </c>
      <c r="BN3078">
        <v>229.3</v>
      </c>
      <c r="BO3078">
        <v>229.3</v>
      </c>
      <c r="BQ3078" t="s">
        <v>755</v>
      </c>
      <c r="BR3078" t="s">
        <v>97</v>
      </c>
      <c r="BS3078" t="s">
        <v>2659</v>
      </c>
      <c r="BY3078">
        <v>26120.25</v>
      </c>
      <c r="CC3078" t="s">
        <v>531</v>
      </c>
      <c r="CD3078">
        <v>6850</v>
      </c>
      <c r="CE3078" t="s">
        <v>931</v>
      </c>
      <c r="CI3078">
        <v>4</v>
      </c>
      <c r="CJ3078" t="s">
        <v>2659</v>
      </c>
      <c r="CK3078">
        <v>43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"080068750016"</f>
        <v>080068750016</v>
      </c>
      <c r="F3079" s="3">
        <v>45957</v>
      </c>
      <c r="G3079">
        <v>202607</v>
      </c>
      <c r="H3079" t="s">
        <v>79</v>
      </c>
      <c r="I3079" t="s">
        <v>80</v>
      </c>
      <c r="J3079" t="s">
        <v>91</v>
      </c>
      <c r="K3079" t="s">
        <v>78</v>
      </c>
      <c r="L3079" t="s">
        <v>168</v>
      </c>
      <c r="M3079" t="s">
        <v>169</v>
      </c>
      <c r="N3079" t="s">
        <v>2495</v>
      </c>
      <c r="O3079" t="s">
        <v>95</v>
      </c>
      <c r="P3079" t="str">
        <f>"4170066241                    "</f>
        <v xml:space="preserve">4170066241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43.23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3.1</v>
      </c>
      <c r="BJ3079">
        <v>2.7</v>
      </c>
      <c r="BK3079">
        <v>4</v>
      </c>
      <c r="BL3079">
        <v>143.08000000000001</v>
      </c>
      <c r="BM3079">
        <v>21.46</v>
      </c>
      <c r="BN3079">
        <v>164.54</v>
      </c>
      <c r="BO3079">
        <v>164.54</v>
      </c>
      <c r="BQ3079" t="s">
        <v>2496</v>
      </c>
      <c r="BR3079" t="s">
        <v>97</v>
      </c>
      <c r="BS3079" s="3">
        <v>45958</v>
      </c>
      <c r="BT3079" s="4">
        <v>0.39583333333333331</v>
      </c>
      <c r="BU3079" t="s">
        <v>3415</v>
      </c>
      <c r="BV3079" t="s">
        <v>86</v>
      </c>
      <c r="BY3079">
        <v>13481.28</v>
      </c>
      <c r="CC3079" t="s">
        <v>169</v>
      </c>
      <c r="CD3079" s="5" t="s">
        <v>1108</v>
      </c>
      <c r="CE3079" t="s">
        <v>107</v>
      </c>
      <c r="CF3079" s="3">
        <v>45958</v>
      </c>
      <c r="CI3079">
        <v>1</v>
      </c>
      <c r="CJ3079">
        <v>1</v>
      </c>
      <c r="CK3079">
        <v>41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"080068750051"</f>
        <v>080068750051</v>
      </c>
      <c r="F3080" s="3">
        <v>45957</v>
      </c>
      <c r="G3080">
        <v>202607</v>
      </c>
      <c r="H3080" t="s">
        <v>79</v>
      </c>
      <c r="I3080" t="s">
        <v>80</v>
      </c>
      <c r="J3080" t="s">
        <v>91</v>
      </c>
      <c r="K3080" t="s">
        <v>78</v>
      </c>
      <c r="L3080" t="s">
        <v>79</v>
      </c>
      <c r="M3080" t="s">
        <v>80</v>
      </c>
      <c r="N3080" t="s">
        <v>1040</v>
      </c>
      <c r="O3080" t="s">
        <v>82</v>
      </c>
      <c r="P3080" t="str">
        <f>"4170066239                    "</f>
        <v xml:space="preserve">4170066239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17.46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0.2</v>
      </c>
      <c r="BJ3080">
        <v>0.8</v>
      </c>
      <c r="BK3080">
        <v>1</v>
      </c>
      <c r="BL3080">
        <v>55.42</v>
      </c>
      <c r="BM3080">
        <v>8.31</v>
      </c>
      <c r="BN3080">
        <v>63.73</v>
      </c>
      <c r="BO3080">
        <v>63.73</v>
      </c>
      <c r="BQ3080" t="s">
        <v>1041</v>
      </c>
      <c r="BR3080" t="s">
        <v>97</v>
      </c>
      <c r="BS3080" s="3">
        <v>45958</v>
      </c>
      <c r="BT3080" s="4">
        <v>0.29166666666666669</v>
      </c>
      <c r="BU3080" t="s">
        <v>1662</v>
      </c>
      <c r="BV3080" t="s">
        <v>86</v>
      </c>
      <c r="BY3080">
        <v>4048.31</v>
      </c>
      <c r="CA3080" t="s">
        <v>166</v>
      </c>
      <c r="CC3080" t="s">
        <v>80</v>
      </c>
      <c r="CD3080">
        <v>1600</v>
      </c>
      <c r="CE3080" t="s">
        <v>191</v>
      </c>
      <c r="CF3080" s="3">
        <v>45959</v>
      </c>
      <c r="CI3080">
        <v>1</v>
      </c>
      <c r="CJ3080">
        <v>1</v>
      </c>
      <c r="CK3080">
        <v>22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"080068750096"</f>
        <v>080068750096</v>
      </c>
      <c r="F3081" s="3">
        <v>45957</v>
      </c>
      <c r="G3081">
        <v>202607</v>
      </c>
      <c r="H3081" t="s">
        <v>79</v>
      </c>
      <c r="I3081" t="s">
        <v>80</v>
      </c>
      <c r="J3081" t="s">
        <v>91</v>
      </c>
      <c r="K3081" t="s">
        <v>78</v>
      </c>
      <c r="L3081" t="s">
        <v>114</v>
      </c>
      <c r="M3081" t="s">
        <v>115</v>
      </c>
      <c r="N3081" t="s">
        <v>746</v>
      </c>
      <c r="O3081" t="s">
        <v>82</v>
      </c>
      <c r="P3081" t="str">
        <f>"4170066151                    "</f>
        <v xml:space="preserve">4170066151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22.36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70.959999999999994</v>
      </c>
      <c r="BM3081">
        <v>10.64</v>
      </c>
      <c r="BN3081">
        <v>81.599999999999994</v>
      </c>
      <c r="BO3081">
        <v>81.599999999999994</v>
      </c>
      <c r="BQ3081" t="s">
        <v>747</v>
      </c>
      <c r="BR3081" t="s">
        <v>97</v>
      </c>
      <c r="BS3081" s="3">
        <v>45958</v>
      </c>
      <c r="BT3081" s="4">
        <v>0.46597222222222223</v>
      </c>
      <c r="BU3081" t="s">
        <v>3416</v>
      </c>
      <c r="BV3081" t="s">
        <v>90</v>
      </c>
      <c r="BY3081">
        <v>1200</v>
      </c>
      <c r="CA3081" t="s">
        <v>3092</v>
      </c>
      <c r="CC3081" t="s">
        <v>115</v>
      </c>
      <c r="CD3081">
        <v>5201</v>
      </c>
      <c r="CE3081" t="s">
        <v>147</v>
      </c>
      <c r="CF3081" s="3">
        <v>45959</v>
      </c>
      <c r="CI3081">
        <v>1</v>
      </c>
      <c r="CJ3081">
        <v>1</v>
      </c>
      <c r="CK3081">
        <v>21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"080068750123"</f>
        <v>080068750123</v>
      </c>
      <c r="F3082" s="3">
        <v>45957</v>
      </c>
      <c r="G3082">
        <v>202607</v>
      </c>
      <c r="H3082" t="s">
        <v>79</v>
      </c>
      <c r="I3082" t="s">
        <v>80</v>
      </c>
      <c r="J3082" t="s">
        <v>91</v>
      </c>
      <c r="K3082" t="s">
        <v>78</v>
      </c>
      <c r="L3082" t="s">
        <v>168</v>
      </c>
      <c r="M3082" t="s">
        <v>169</v>
      </c>
      <c r="N3082" t="s">
        <v>170</v>
      </c>
      <c r="O3082" t="s">
        <v>82</v>
      </c>
      <c r="P3082" t="str">
        <f>"4170066169                    "</f>
        <v xml:space="preserve">4170066169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22.36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0.2</v>
      </c>
      <c r="BJ3082">
        <v>0.5</v>
      </c>
      <c r="BK3082">
        <v>0.5</v>
      </c>
      <c r="BL3082">
        <v>70.959999999999994</v>
      </c>
      <c r="BM3082">
        <v>10.64</v>
      </c>
      <c r="BN3082">
        <v>81.599999999999994</v>
      </c>
      <c r="BO3082">
        <v>81.599999999999994</v>
      </c>
      <c r="BQ3082" t="s">
        <v>171</v>
      </c>
      <c r="BR3082" t="s">
        <v>97</v>
      </c>
      <c r="BS3082" s="3">
        <v>45958</v>
      </c>
      <c r="BT3082" s="4">
        <v>0.33750000000000002</v>
      </c>
      <c r="BU3082" t="s">
        <v>332</v>
      </c>
      <c r="BV3082" t="s">
        <v>86</v>
      </c>
      <c r="BY3082">
        <v>2477.6</v>
      </c>
      <c r="CA3082">
        <v>7712195338085</v>
      </c>
      <c r="CC3082" t="s">
        <v>169</v>
      </c>
      <c r="CD3082" s="5" t="s">
        <v>173</v>
      </c>
      <c r="CE3082" t="s">
        <v>147</v>
      </c>
      <c r="CF3082" s="3">
        <v>45958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"080068750163"</f>
        <v>080068750163</v>
      </c>
      <c r="F3083" s="3">
        <v>45957</v>
      </c>
      <c r="G3083">
        <v>202607</v>
      </c>
      <c r="H3083" t="s">
        <v>79</v>
      </c>
      <c r="I3083" t="s">
        <v>80</v>
      </c>
      <c r="J3083" t="s">
        <v>91</v>
      </c>
      <c r="K3083" t="s">
        <v>78</v>
      </c>
      <c r="L3083" t="s">
        <v>79</v>
      </c>
      <c r="M3083" t="s">
        <v>80</v>
      </c>
      <c r="N3083" t="s">
        <v>1040</v>
      </c>
      <c r="O3083" t="s">
        <v>82</v>
      </c>
      <c r="P3083" t="str">
        <f>"4170066238                    "</f>
        <v xml:space="preserve">4170066238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17.46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0.2</v>
      </c>
      <c r="BJ3083">
        <v>0.3</v>
      </c>
      <c r="BK3083">
        <v>1</v>
      </c>
      <c r="BL3083">
        <v>55.42</v>
      </c>
      <c r="BM3083">
        <v>8.31</v>
      </c>
      <c r="BN3083">
        <v>63.73</v>
      </c>
      <c r="BO3083">
        <v>63.73</v>
      </c>
      <c r="BQ3083" t="s">
        <v>1041</v>
      </c>
      <c r="BR3083" t="s">
        <v>97</v>
      </c>
      <c r="BS3083" s="3">
        <v>45958</v>
      </c>
      <c r="BT3083" s="4">
        <v>0.29166666666666669</v>
      </c>
      <c r="BU3083" t="s">
        <v>1662</v>
      </c>
      <c r="BV3083" t="s">
        <v>86</v>
      </c>
      <c r="BY3083">
        <v>1272.8</v>
      </c>
      <c r="CA3083" t="s">
        <v>166</v>
      </c>
      <c r="CC3083" t="s">
        <v>80</v>
      </c>
      <c r="CD3083">
        <v>1600</v>
      </c>
      <c r="CE3083" t="s">
        <v>147</v>
      </c>
      <c r="CF3083" s="3">
        <v>45959</v>
      </c>
      <c r="CI3083">
        <v>1</v>
      </c>
      <c r="CJ3083">
        <v>1</v>
      </c>
      <c r="CK3083">
        <v>22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"080068750436"</f>
        <v>080068750436</v>
      </c>
      <c r="F3084" s="3">
        <v>45957</v>
      </c>
      <c r="G3084">
        <v>202607</v>
      </c>
      <c r="H3084" t="s">
        <v>79</v>
      </c>
      <c r="I3084" t="s">
        <v>80</v>
      </c>
      <c r="J3084" t="s">
        <v>91</v>
      </c>
      <c r="K3084" t="s">
        <v>78</v>
      </c>
      <c r="L3084" t="s">
        <v>271</v>
      </c>
      <c r="M3084" t="s">
        <v>272</v>
      </c>
      <c r="N3084" t="s">
        <v>273</v>
      </c>
      <c r="O3084" t="s">
        <v>226</v>
      </c>
      <c r="P3084" t="str">
        <f>"4170066198                    "</f>
        <v xml:space="preserve">4170066198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27.26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2</v>
      </c>
      <c r="BI3084">
        <v>12.5</v>
      </c>
      <c r="BJ3084">
        <v>12</v>
      </c>
      <c r="BK3084">
        <v>13</v>
      </c>
      <c r="BL3084">
        <v>86.53</v>
      </c>
      <c r="BM3084">
        <v>12.98</v>
      </c>
      <c r="BN3084">
        <v>99.51</v>
      </c>
      <c r="BO3084">
        <v>99.51</v>
      </c>
      <c r="BQ3084" t="s">
        <v>274</v>
      </c>
      <c r="BR3084" t="s">
        <v>97</v>
      </c>
      <c r="BS3084" s="3">
        <v>45958</v>
      </c>
      <c r="BT3084" s="4">
        <v>0.41666666666666669</v>
      </c>
      <c r="BU3084" t="s">
        <v>1901</v>
      </c>
      <c r="BV3084" t="s">
        <v>86</v>
      </c>
      <c r="BY3084">
        <v>59763.98</v>
      </c>
      <c r="CA3084" t="s">
        <v>661</v>
      </c>
      <c r="CC3084" t="s">
        <v>272</v>
      </c>
      <c r="CD3084">
        <v>1422</v>
      </c>
      <c r="CE3084" t="s">
        <v>1088</v>
      </c>
      <c r="CF3084" s="3">
        <v>45959</v>
      </c>
      <c r="CI3084">
        <v>1</v>
      </c>
      <c r="CJ3084">
        <v>1</v>
      </c>
      <c r="CK3084">
        <v>32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"080068750515"</f>
        <v>080068750515</v>
      </c>
      <c r="F3085" s="3">
        <v>45957</v>
      </c>
      <c r="G3085">
        <v>202607</v>
      </c>
      <c r="H3085" t="s">
        <v>79</v>
      </c>
      <c r="I3085" t="s">
        <v>80</v>
      </c>
      <c r="J3085" t="s">
        <v>91</v>
      </c>
      <c r="K3085" t="s">
        <v>78</v>
      </c>
      <c r="L3085" t="s">
        <v>246</v>
      </c>
      <c r="M3085" t="s">
        <v>247</v>
      </c>
      <c r="N3085" t="s">
        <v>248</v>
      </c>
      <c r="O3085" t="s">
        <v>82</v>
      </c>
      <c r="P3085" t="str">
        <f>"4170066148                    "</f>
        <v xml:space="preserve">4170066148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43.31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16.739999999999998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0.2</v>
      </c>
      <c r="BJ3085">
        <v>1.5</v>
      </c>
      <c r="BK3085">
        <v>1.5</v>
      </c>
      <c r="BL3085">
        <v>154.21</v>
      </c>
      <c r="BM3085">
        <v>23.13</v>
      </c>
      <c r="BN3085">
        <v>177.34</v>
      </c>
      <c r="BO3085">
        <v>177.34</v>
      </c>
      <c r="BQ3085" t="s">
        <v>249</v>
      </c>
      <c r="BR3085" t="s">
        <v>97</v>
      </c>
      <c r="BS3085" s="3">
        <v>45958</v>
      </c>
      <c r="BT3085" s="4">
        <v>0.47847222222222224</v>
      </c>
      <c r="BU3085" t="s">
        <v>1775</v>
      </c>
      <c r="BV3085" t="s">
        <v>86</v>
      </c>
      <c r="BY3085">
        <v>7686.45</v>
      </c>
      <c r="BZ3085" t="s">
        <v>30</v>
      </c>
      <c r="CC3085" t="s">
        <v>247</v>
      </c>
      <c r="CD3085" s="5" t="s">
        <v>252</v>
      </c>
      <c r="CE3085" t="s">
        <v>191</v>
      </c>
      <c r="CF3085" s="3">
        <v>45959</v>
      </c>
      <c r="CI3085">
        <v>1</v>
      </c>
      <c r="CJ3085">
        <v>1</v>
      </c>
      <c r="CK3085">
        <v>23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"080068750618"</f>
        <v>080068750618</v>
      </c>
      <c r="F3086" s="3">
        <v>45957</v>
      </c>
      <c r="G3086">
        <v>202607</v>
      </c>
      <c r="H3086" t="s">
        <v>79</v>
      </c>
      <c r="I3086" t="s">
        <v>80</v>
      </c>
      <c r="J3086" t="s">
        <v>91</v>
      </c>
      <c r="K3086" t="s">
        <v>78</v>
      </c>
      <c r="L3086" t="s">
        <v>79</v>
      </c>
      <c r="M3086" t="s">
        <v>80</v>
      </c>
      <c r="N3086" t="s">
        <v>1040</v>
      </c>
      <c r="O3086" t="s">
        <v>82</v>
      </c>
      <c r="P3086" t="str">
        <f>"4170066234                    "</f>
        <v xml:space="preserve">4170066234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17.46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0.2</v>
      </c>
      <c r="BJ3086">
        <v>0.6</v>
      </c>
      <c r="BK3086">
        <v>1</v>
      </c>
      <c r="BL3086">
        <v>55.42</v>
      </c>
      <c r="BM3086">
        <v>8.31</v>
      </c>
      <c r="BN3086">
        <v>63.73</v>
      </c>
      <c r="BO3086">
        <v>63.73</v>
      </c>
      <c r="BQ3086" t="s">
        <v>1041</v>
      </c>
      <c r="BR3086" t="s">
        <v>97</v>
      </c>
      <c r="BS3086" s="3">
        <v>45958</v>
      </c>
      <c r="BT3086" s="4">
        <v>0.29166666666666669</v>
      </c>
      <c r="BU3086" t="s">
        <v>1662</v>
      </c>
      <c r="BV3086" t="s">
        <v>86</v>
      </c>
      <c r="BY3086">
        <v>3089.5</v>
      </c>
      <c r="CA3086" t="s">
        <v>166</v>
      </c>
      <c r="CC3086" t="s">
        <v>80</v>
      </c>
      <c r="CD3086">
        <v>1600</v>
      </c>
      <c r="CE3086" t="s">
        <v>147</v>
      </c>
      <c r="CF3086" s="3">
        <v>45959</v>
      </c>
      <c r="CI3086">
        <v>1</v>
      </c>
      <c r="CJ3086">
        <v>1</v>
      </c>
      <c r="CK3086">
        <v>22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"080068750919"</f>
        <v>080068750919</v>
      </c>
      <c r="F3087" s="3">
        <v>45957</v>
      </c>
      <c r="G3087">
        <v>202607</v>
      </c>
      <c r="H3087" t="s">
        <v>79</v>
      </c>
      <c r="I3087" t="s">
        <v>80</v>
      </c>
      <c r="J3087" t="s">
        <v>91</v>
      </c>
      <c r="K3087" t="s">
        <v>78</v>
      </c>
      <c r="L3087" t="s">
        <v>79</v>
      </c>
      <c r="M3087" t="s">
        <v>80</v>
      </c>
      <c r="N3087" t="s">
        <v>1040</v>
      </c>
      <c r="O3087" t="s">
        <v>82</v>
      </c>
      <c r="P3087" t="str">
        <f>"4170066237                    "</f>
        <v xml:space="preserve">4170066237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17.46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55.42</v>
      </c>
      <c r="BM3087">
        <v>8.31</v>
      </c>
      <c r="BN3087">
        <v>63.73</v>
      </c>
      <c r="BO3087">
        <v>63.73</v>
      </c>
      <c r="BQ3087" t="s">
        <v>1041</v>
      </c>
      <c r="BR3087" t="s">
        <v>97</v>
      </c>
      <c r="BS3087" s="3">
        <v>45958</v>
      </c>
      <c r="BT3087" s="4">
        <v>0.29166666666666669</v>
      </c>
      <c r="BU3087" t="s">
        <v>1662</v>
      </c>
      <c r="BV3087" t="s">
        <v>86</v>
      </c>
      <c r="BY3087">
        <v>1200</v>
      </c>
      <c r="CA3087" t="s">
        <v>166</v>
      </c>
      <c r="CC3087" t="s">
        <v>80</v>
      </c>
      <c r="CD3087">
        <v>1600</v>
      </c>
      <c r="CE3087" t="s">
        <v>147</v>
      </c>
      <c r="CF3087" s="3">
        <v>45959</v>
      </c>
      <c r="CI3087">
        <v>1</v>
      </c>
      <c r="CJ3087">
        <v>1</v>
      </c>
      <c r="CK3087">
        <v>22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"080068750998"</f>
        <v>080068750998</v>
      </c>
      <c r="F3088" s="3">
        <v>45957</v>
      </c>
      <c r="G3088">
        <v>202607</v>
      </c>
      <c r="H3088" t="s">
        <v>79</v>
      </c>
      <c r="I3088" t="s">
        <v>80</v>
      </c>
      <c r="J3088" t="s">
        <v>91</v>
      </c>
      <c r="K3088" t="s">
        <v>78</v>
      </c>
      <c r="L3088" t="s">
        <v>75</v>
      </c>
      <c r="M3088" t="s">
        <v>76</v>
      </c>
      <c r="N3088" t="s">
        <v>2415</v>
      </c>
      <c r="O3088" t="s">
        <v>82</v>
      </c>
      <c r="P3088" t="str">
        <f>"4170066188                    "</f>
        <v xml:space="preserve">4170066188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17.46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55.42</v>
      </c>
      <c r="BM3088">
        <v>8.31</v>
      </c>
      <c r="BN3088">
        <v>63.73</v>
      </c>
      <c r="BO3088">
        <v>63.73</v>
      </c>
      <c r="BQ3088" t="s">
        <v>2416</v>
      </c>
      <c r="BR3088" t="s">
        <v>97</v>
      </c>
      <c r="BS3088" s="3">
        <v>45958</v>
      </c>
      <c r="BT3088" s="4">
        <v>0.39583333333333331</v>
      </c>
      <c r="BU3088" t="s">
        <v>2417</v>
      </c>
      <c r="BV3088" t="s">
        <v>86</v>
      </c>
      <c r="BY3088">
        <v>1200</v>
      </c>
      <c r="CA3088" t="s">
        <v>1284</v>
      </c>
      <c r="CC3088" t="s">
        <v>76</v>
      </c>
      <c r="CD3088">
        <v>2170</v>
      </c>
      <c r="CE3088" t="s">
        <v>147</v>
      </c>
      <c r="CF3088" s="3">
        <v>45958</v>
      </c>
      <c r="CI3088">
        <v>1</v>
      </c>
      <c r="CJ3088">
        <v>1</v>
      </c>
      <c r="CK3088">
        <v>22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"080068751059"</f>
        <v>080068751059</v>
      </c>
      <c r="F3089" s="3">
        <v>45957</v>
      </c>
      <c r="G3089">
        <v>202607</v>
      </c>
      <c r="H3089" t="s">
        <v>79</v>
      </c>
      <c r="I3089" t="s">
        <v>80</v>
      </c>
      <c r="J3089" t="s">
        <v>91</v>
      </c>
      <c r="K3089" t="s">
        <v>78</v>
      </c>
      <c r="L3089" t="s">
        <v>148</v>
      </c>
      <c r="M3089" t="s">
        <v>149</v>
      </c>
      <c r="N3089" t="s">
        <v>465</v>
      </c>
      <c r="O3089" t="s">
        <v>82</v>
      </c>
      <c r="P3089" t="str">
        <f>"4170066197                    "</f>
        <v xml:space="preserve">4170066197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17.46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55.42</v>
      </c>
      <c r="BM3089">
        <v>8.31</v>
      </c>
      <c r="BN3089">
        <v>63.73</v>
      </c>
      <c r="BO3089">
        <v>63.73</v>
      </c>
      <c r="BQ3089" t="s">
        <v>466</v>
      </c>
      <c r="BR3089" t="s">
        <v>97</v>
      </c>
      <c r="BS3089" s="3">
        <v>45958</v>
      </c>
      <c r="BT3089" s="4">
        <v>0.36388888888888887</v>
      </c>
      <c r="BU3089" t="s">
        <v>1658</v>
      </c>
      <c r="BV3089" t="s">
        <v>86</v>
      </c>
      <c r="BY3089">
        <v>1200</v>
      </c>
      <c r="CA3089" t="s">
        <v>519</v>
      </c>
      <c r="CC3089" t="s">
        <v>149</v>
      </c>
      <c r="CD3089">
        <v>2094</v>
      </c>
      <c r="CE3089" t="s">
        <v>147</v>
      </c>
      <c r="CF3089" s="3">
        <v>45958</v>
      </c>
      <c r="CI3089">
        <v>1</v>
      </c>
      <c r="CJ3089">
        <v>1</v>
      </c>
      <c r="CK3089">
        <v>22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"080068751118"</f>
        <v>080068751118</v>
      </c>
      <c r="F3090" s="3">
        <v>45957</v>
      </c>
      <c r="G3090">
        <v>202607</v>
      </c>
      <c r="H3090" t="s">
        <v>79</v>
      </c>
      <c r="I3090" t="s">
        <v>80</v>
      </c>
      <c r="J3090" t="s">
        <v>91</v>
      </c>
      <c r="K3090" t="s">
        <v>78</v>
      </c>
      <c r="L3090" t="s">
        <v>1095</v>
      </c>
      <c r="M3090" t="s">
        <v>1096</v>
      </c>
      <c r="N3090" t="s">
        <v>1197</v>
      </c>
      <c r="O3090" t="s">
        <v>82</v>
      </c>
      <c r="P3090" t="str">
        <f>"4170066177                    "</f>
        <v xml:space="preserve">4170066177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43.31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0.2</v>
      </c>
      <c r="BJ3090">
        <v>1</v>
      </c>
      <c r="BK3090">
        <v>1</v>
      </c>
      <c r="BL3090">
        <v>137.47</v>
      </c>
      <c r="BM3090">
        <v>20.62</v>
      </c>
      <c r="BN3090">
        <v>158.09</v>
      </c>
      <c r="BO3090">
        <v>158.09</v>
      </c>
      <c r="BQ3090" t="s">
        <v>1198</v>
      </c>
      <c r="BR3090" t="s">
        <v>97</v>
      </c>
      <c r="BS3090" s="3">
        <v>45958</v>
      </c>
      <c r="BT3090" s="4">
        <v>0.43402777777777779</v>
      </c>
      <c r="BU3090" t="s">
        <v>3417</v>
      </c>
      <c r="BV3090" t="s">
        <v>86</v>
      </c>
      <c r="BY3090">
        <v>5131.3500000000004</v>
      </c>
      <c r="CA3090" t="s">
        <v>3076</v>
      </c>
      <c r="CC3090" t="s">
        <v>1096</v>
      </c>
      <c r="CD3090">
        <v>2302</v>
      </c>
      <c r="CE3090" t="s">
        <v>147</v>
      </c>
      <c r="CI3090">
        <v>1</v>
      </c>
      <c r="CJ3090">
        <v>1</v>
      </c>
      <c r="CK3090">
        <v>23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"080068751931"</f>
        <v>080068751931</v>
      </c>
      <c r="F3091" s="3">
        <v>45957</v>
      </c>
      <c r="G3091">
        <v>202607</v>
      </c>
      <c r="H3091" t="s">
        <v>79</v>
      </c>
      <c r="I3091" t="s">
        <v>80</v>
      </c>
      <c r="J3091" t="s">
        <v>91</v>
      </c>
      <c r="K3091" t="s">
        <v>78</v>
      </c>
      <c r="L3091" t="s">
        <v>114</v>
      </c>
      <c r="M3091" t="s">
        <v>115</v>
      </c>
      <c r="N3091" t="s">
        <v>881</v>
      </c>
      <c r="O3091" t="s">
        <v>82</v>
      </c>
      <c r="P3091" t="str">
        <f>"4170066200                    "</f>
        <v xml:space="preserve">4170066200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33.520000000000003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2.9</v>
      </c>
      <c r="BJ3091">
        <v>2.8</v>
      </c>
      <c r="BK3091">
        <v>3</v>
      </c>
      <c r="BL3091">
        <v>106.4</v>
      </c>
      <c r="BM3091">
        <v>15.96</v>
      </c>
      <c r="BN3091">
        <v>122.36</v>
      </c>
      <c r="BO3091">
        <v>122.36</v>
      </c>
      <c r="BQ3091" t="s">
        <v>882</v>
      </c>
      <c r="BR3091" t="s">
        <v>97</v>
      </c>
      <c r="BS3091" s="3">
        <v>45958</v>
      </c>
      <c r="BT3091" s="4">
        <v>0.45763888888888887</v>
      </c>
      <c r="BU3091" t="s">
        <v>3418</v>
      </c>
      <c r="BV3091" t="s">
        <v>90</v>
      </c>
      <c r="BY3091">
        <v>13791.7</v>
      </c>
      <c r="CA3091" t="s">
        <v>3092</v>
      </c>
      <c r="CC3091" t="s">
        <v>115</v>
      </c>
      <c r="CD3091">
        <v>5201</v>
      </c>
      <c r="CE3091" t="s">
        <v>107</v>
      </c>
      <c r="CF3091" s="3">
        <v>45959</v>
      </c>
      <c r="CI3091">
        <v>1</v>
      </c>
      <c r="CJ3091">
        <v>1</v>
      </c>
      <c r="CK3091">
        <v>21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"080068751953"</f>
        <v>080068751953</v>
      </c>
      <c r="F3092" s="3">
        <v>45957</v>
      </c>
      <c r="G3092">
        <v>202607</v>
      </c>
      <c r="H3092" t="s">
        <v>79</v>
      </c>
      <c r="I3092" t="s">
        <v>80</v>
      </c>
      <c r="J3092" t="s">
        <v>91</v>
      </c>
      <c r="K3092" t="s">
        <v>78</v>
      </c>
      <c r="L3092" t="s">
        <v>1008</v>
      </c>
      <c r="M3092" t="s">
        <v>1009</v>
      </c>
      <c r="N3092" t="s">
        <v>1010</v>
      </c>
      <c r="O3092" t="s">
        <v>226</v>
      </c>
      <c r="P3092" t="str">
        <f>"4170066138                    "</f>
        <v xml:space="preserve">4170066138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172.96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6.6</v>
      </c>
      <c r="BJ3092">
        <v>9.1999999999999993</v>
      </c>
      <c r="BK3092">
        <v>9.5</v>
      </c>
      <c r="BL3092">
        <v>548.96</v>
      </c>
      <c r="BM3092">
        <v>82.34</v>
      </c>
      <c r="BN3092">
        <v>631.29999999999995</v>
      </c>
      <c r="BO3092">
        <v>631.29999999999995</v>
      </c>
      <c r="BQ3092" t="s">
        <v>1011</v>
      </c>
      <c r="BR3092" t="s">
        <v>97</v>
      </c>
      <c r="BS3092" s="3">
        <v>45958</v>
      </c>
      <c r="BT3092" s="4">
        <v>0.2951388888888889</v>
      </c>
      <c r="BU3092" t="s">
        <v>3419</v>
      </c>
      <c r="BV3092" t="s">
        <v>86</v>
      </c>
      <c r="BY3092">
        <v>46090.2</v>
      </c>
      <c r="CA3092" t="s">
        <v>2194</v>
      </c>
      <c r="CC3092" t="s">
        <v>1009</v>
      </c>
      <c r="CD3092">
        <v>1759</v>
      </c>
      <c r="CE3092" t="s">
        <v>191</v>
      </c>
      <c r="CF3092" s="3">
        <v>45958</v>
      </c>
      <c r="CI3092">
        <v>1</v>
      </c>
      <c r="CJ3092">
        <v>1</v>
      </c>
      <c r="CK3092">
        <v>34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"080068751984"</f>
        <v>080068751984</v>
      </c>
      <c r="F3093" s="3">
        <v>45957</v>
      </c>
      <c r="G3093">
        <v>202607</v>
      </c>
      <c r="H3093" t="s">
        <v>79</v>
      </c>
      <c r="I3093" t="s">
        <v>80</v>
      </c>
      <c r="J3093" t="s">
        <v>91</v>
      </c>
      <c r="K3093" t="s">
        <v>78</v>
      </c>
      <c r="L3093" t="s">
        <v>121</v>
      </c>
      <c r="M3093" t="s">
        <v>122</v>
      </c>
      <c r="N3093" t="s">
        <v>159</v>
      </c>
      <c r="O3093" t="s">
        <v>82</v>
      </c>
      <c r="P3093" t="str">
        <f>"4170066152                    "</f>
        <v xml:space="preserve">4170066152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22.36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0.2</v>
      </c>
      <c r="BJ3093">
        <v>1.4</v>
      </c>
      <c r="BK3093">
        <v>1.5</v>
      </c>
      <c r="BL3093">
        <v>70.959999999999994</v>
      </c>
      <c r="BM3093">
        <v>10.64</v>
      </c>
      <c r="BN3093">
        <v>81.599999999999994</v>
      </c>
      <c r="BO3093">
        <v>81.599999999999994</v>
      </c>
      <c r="BQ3093" t="s">
        <v>160</v>
      </c>
      <c r="BR3093" t="s">
        <v>97</v>
      </c>
      <c r="BS3093" s="3">
        <v>45958</v>
      </c>
      <c r="BT3093" s="4">
        <v>0.45555555555555555</v>
      </c>
      <c r="BU3093" t="s">
        <v>1436</v>
      </c>
      <c r="BV3093" t="s">
        <v>90</v>
      </c>
      <c r="BW3093" t="s">
        <v>771</v>
      </c>
      <c r="BX3093" t="s">
        <v>1222</v>
      </c>
      <c r="BY3093">
        <v>6778.88</v>
      </c>
      <c r="CA3093" t="s">
        <v>742</v>
      </c>
      <c r="CC3093" t="s">
        <v>122</v>
      </c>
      <c r="CD3093">
        <v>4000</v>
      </c>
      <c r="CE3093" t="s">
        <v>147</v>
      </c>
      <c r="CF3093" s="3">
        <v>45959</v>
      </c>
      <c r="CI3093">
        <v>1</v>
      </c>
      <c r="CJ3093">
        <v>1</v>
      </c>
      <c r="CK3093">
        <v>21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"080068752058"</f>
        <v>080068752058</v>
      </c>
      <c r="F3094" s="3">
        <v>45957</v>
      </c>
      <c r="G3094">
        <v>202607</v>
      </c>
      <c r="H3094" t="s">
        <v>79</v>
      </c>
      <c r="I3094" t="s">
        <v>80</v>
      </c>
      <c r="J3094" t="s">
        <v>91</v>
      </c>
      <c r="K3094" t="s">
        <v>78</v>
      </c>
      <c r="L3094" t="s">
        <v>108</v>
      </c>
      <c r="M3094" t="s">
        <v>109</v>
      </c>
      <c r="N3094" t="s">
        <v>1203</v>
      </c>
      <c r="O3094" t="s">
        <v>82</v>
      </c>
      <c r="P3094" t="str">
        <f>"4170066167                    "</f>
        <v xml:space="preserve">4170066167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22.36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0.2</v>
      </c>
      <c r="BJ3094">
        <v>1.9</v>
      </c>
      <c r="BK3094">
        <v>2</v>
      </c>
      <c r="BL3094">
        <v>70.959999999999994</v>
      </c>
      <c r="BM3094">
        <v>10.64</v>
      </c>
      <c r="BN3094">
        <v>81.599999999999994</v>
      </c>
      <c r="BO3094">
        <v>81.599999999999994</v>
      </c>
      <c r="BQ3094" t="s">
        <v>1204</v>
      </c>
      <c r="BR3094" t="s">
        <v>97</v>
      </c>
      <c r="BS3094" s="3">
        <v>45958</v>
      </c>
      <c r="BT3094" s="4">
        <v>0.34236111111111112</v>
      </c>
      <c r="BU3094" t="s">
        <v>2918</v>
      </c>
      <c r="BV3094" t="s">
        <v>86</v>
      </c>
      <c r="BY3094">
        <v>9480.64</v>
      </c>
      <c r="CA3094" t="s">
        <v>1090</v>
      </c>
      <c r="CC3094" t="s">
        <v>109</v>
      </c>
      <c r="CD3094">
        <v>6012</v>
      </c>
      <c r="CE3094" t="s">
        <v>147</v>
      </c>
      <c r="CF3094" s="3">
        <v>45958</v>
      </c>
      <c r="CI3094">
        <v>1</v>
      </c>
      <c r="CJ3094">
        <v>1</v>
      </c>
      <c r="CK3094">
        <v>21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"080068752086"</f>
        <v>080068752086</v>
      </c>
      <c r="F3095" s="3">
        <v>45957</v>
      </c>
      <c r="G3095">
        <v>202607</v>
      </c>
      <c r="H3095" t="s">
        <v>79</v>
      </c>
      <c r="I3095" t="s">
        <v>80</v>
      </c>
      <c r="J3095" t="s">
        <v>91</v>
      </c>
      <c r="K3095" t="s">
        <v>78</v>
      </c>
      <c r="L3095" t="s">
        <v>265</v>
      </c>
      <c r="M3095" t="s">
        <v>266</v>
      </c>
      <c r="N3095" t="s">
        <v>536</v>
      </c>
      <c r="O3095" t="s">
        <v>82</v>
      </c>
      <c r="P3095" t="str">
        <f>"4170066146                    "</f>
        <v xml:space="preserve">4170066146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22.36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0.2</v>
      </c>
      <c r="BJ3095">
        <v>1.4</v>
      </c>
      <c r="BK3095">
        <v>1.5</v>
      </c>
      <c r="BL3095">
        <v>70.959999999999994</v>
      </c>
      <c r="BM3095">
        <v>10.64</v>
      </c>
      <c r="BN3095">
        <v>81.599999999999994</v>
      </c>
      <c r="BO3095">
        <v>81.599999999999994</v>
      </c>
      <c r="BQ3095" t="s">
        <v>537</v>
      </c>
      <c r="BR3095" t="s">
        <v>97</v>
      </c>
      <c r="BS3095" s="3">
        <v>45958</v>
      </c>
      <c r="BT3095" s="4">
        <v>0.33402777777777776</v>
      </c>
      <c r="BU3095" t="s">
        <v>258</v>
      </c>
      <c r="BV3095" t="s">
        <v>86</v>
      </c>
      <c r="BY3095">
        <v>6844.5</v>
      </c>
      <c r="CA3095" t="s">
        <v>818</v>
      </c>
      <c r="CC3095" t="s">
        <v>266</v>
      </c>
      <c r="CD3095">
        <v>6230</v>
      </c>
      <c r="CE3095" t="s">
        <v>147</v>
      </c>
      <c r="CF3095" s="3">
        <v>45958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"080068752270"</f>
        <v>080068752270</v>
      </c>
      <c r="F3096" s="3">
        <v>45957</v>
      </c>
      <c r="G3096">
        <v>202607</v>
      </c>
      <c r="H3096" t="s">
        <v>79</v>
      </c>
      <c r="I3096" t="s">
        <v>80</v>
      </c>
      <c r="J3096" t="s">
        <v>91</v>
      </c>
      <c r="K3096" t="s">
        <v>78</v>
      </c>
      <c r="L3096" t="s">
        <v>79</v>
      </c>
      <c r="M3096" t="s">
        <v>80</v>
      </c>
      <c r="N3096" t="s">
        <v>577</v>
      </c>
      <c r="O3096" t="s">
        <v>82</v>
      </c>
      <c r="P3096" t="str">
        <f>"4170066140                    "</f>
        <v xml:space="preserve">4170066140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17.46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55.42</v>
      </c>
      <c r="BM3096">
        <v>8.31</v>
      </c>
      <c r="BN3096">
        <v>63.73</v>
      </c>
      <c r="BO3096">
        <v>63.73</v>
      </c>
      <c r="BQ3096" t="s">
        <v>578</v>
      </c>
      <c r="BR3096" t="s">
        <v>97</v>
      </c>
      <c r="BS3096" s="3">
        <v>45958</v>
      </c>
      <c r="BT3096" s="4">
        <v>0.37291666666666667</v>
      </c>
      <c r="BU3096" t="s">
        <v>1536</v>
      </c>
      <c r="BV3096" t="s">
        <v>86</v>
      </c>
      <c r="BY3096">
        <v>1200</v>
      </c>
      <c r="CA3096" t="s">
        <v>580</v>
      </c>
      <c r="CC3096" t="s">
        <v>80</v>
      </c>
      <c r="CD3096">
        <v>1619</v>
      </c>
      <c r="CE3096" t="s">
        <v>147</v>
      </c>
      <c r="CF3096" s="3">
        <v>45958</v>
      </c>
      <c r="CI3096">
        <v>1</v>
      </c>
      <c r="CJ3096">
        <v>1</v>
      </c>
      <c r="CK3096">
        <v>22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"080068753097"</f>
        <v>080068753097</v>
      </c>
      <c r="F3097" s="3">
        <v>45957</v>
      </c>
      <c r="G3097">
        <v>202607</v>
      </c>
      <c r="H3097" t="s">
        <v>79</v>
      </c>
      <c r="I3097" t="s">
        <v>80</v>
      </c>
      <c r="J3097" t="s">
        <v>91</v>
      </c>
      <c r="K3097" t="s">
        <v>78</v>
      </c>
      <c r="L3097" t="s">
        <v>102</v>
      </c>
      <c r="M3097" t="s">
        <v>103</v>
      </c>
      <c r="N3097" t="s">
        <v>335</v>
      </c>
      <c r="O3097" t="s">
        <v>82</v>
      </c>
      <c r="P3097" t="str">
        <f>"4170066213                    "</f>
        <v xml:space="preserve">4170066213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17.46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55.42</v>
      </c>
      <c r="BM3097">
        <v>8.31</v>
      </c>
      <c r="BN3097">
        <v>63.73</v>
      </c>
      <c r="BO3097">
        <v>63.73</v>
      </c>
      <c r="BQ3097" t="s">
        <v>475</v>
      </c>
      <c r="BR3097" t="s">
        <v>97</v>
      </c>
      <c r="BS3097" s="3">
        <v>45958</v>
      </c>
      <c r="BT3097" s="4">
        <v>0.39513888888888887</v>
      </c>
      <c r="BU3097" t="s">
        <v>655</v>
      </c>
      <c r="BV3097" t="s">
        <v>86</v>
      </c>
      <c r="BY3097">
        <v>1200</v>
      </c>
      <c r="CA3097" t="s">
        <v>621</v>
      </c>
      <c r="CC3097" t="s">
        <v>103</v>
      </c>
      <c r="CD3097">
        <v>1451</v>
      </c>
      <c r="CE3097" t="s">
        <v>147</v>
      </c>
      <c r="CF3097" s="3">
        <v>45959</v>
      </c>
      <c r="CI3097">
        <v>1</v>
      </c>
      <c r="CJ3097">
        <v>1</v>
      </c>
      <c r="CK3097">
        <v>22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"080068753126"</f>
        <v>080068753126</v>
      </c>
      <c r="F3098" s="3">
        <v>45957</v>
      </c>
      <c r="G3098">
        <v>202607</v>
      </c>
      <c r="H3098" t="s">
        <v>79</v>
      </c>
      <c r="I3098" t="s">
        <v>80</v>
      </c>
      <c r="J3098" t="s">
        <v>91</v>
      </c>
      <c r="K3098" t="s">
        <v>78</v>
      </c>
      <c r="L3098" t="s">
        <v>168</v>
      </c>
      <c r="M3098" t="s">
        <v>169</v>
      </c>
      <c r="N3098" t="s">
        <v>170</v>
      </c>
      <c r="O3098" t="s">
        <v>82</v>
      </c>
      <c r="P3098" t="str">
        <f>"4170066144                    "</f>
        <v xml:space="preserve">4170066144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22.36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70.959999999999994</v>
      </c>
      <c r="BM3098">
        <v>10.64</v>
      </c>
      <c r="BN3098">
        <v>81.599999999999994</v>
      </c>
      <c r="BO3098">
        <v>81.599999999999994</v>
      </c>
      <c r="BQ3098" t="s">
        <v>171</v>
      </c>
      <c r="BR3098" t="s">
        <v>97</v>
      </c>
      <c r="BS3098" s="3">
        <v>45958</v>
      </c>
      <c r="BT3098" s="4">
        <v>0.33819444444444446</v>
      </c>
      <c r="BU3098" t="s">
        <v>332</v>
      </c>
      <c r="BV3098" t="s">
        <v>86</v>
      </c>
      <c r="BY3098">
        <v>1200</v>
      </c>
      <c r="CA3098">
        <v>7712195338085</v>
      </c>
      <c r="CC3098" t="s">
        <v>169</v>
      </c>
      <c r="CD3098" s="5" t="s">
        <v>173</v>
      </c>
      <c r="CE3098" t="s">
        <v>147</v>
      </c>
      <c r="CF3098" s="3">
        <v>45958</v>
      </c>
      <c r="CI3098">
        <v>1</v>
      </c>
      <c r="CJ3098">
        <v>1</v>
      </c>
      <c r="CK3098">
        <v>21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"080068753178"</f>
        <v>080068753178</v>
      </c>
      <c r="F3099" s="3">
        <v>45957</v>
      </c>
      <c r="G3099">
        <v>202607</v>
      </c>
      <c r="H3099" t="s">
        <v>79</v>
      </c>
      <c r="I3099" t="s">
        <v>80</v>
      </c>
      <c r="J3099" t="s">
        <v>91</v>
      </c>
      <c r="K3099" t="s">
        <v>78</v>
      </c>
      <c r="L3099" t="s">
        <v>306</v>
      </c>
      <c r="M3099" t="s">
        <v>307</v>
      </c>
      <c r="N3099" t="s">
        <v>308</v>
      </c>
      <c r="O3099" t="s">
        <v>82</v>
      </c>
      <c r="P3099" t="str">
        <f>"4170066227                    "</f>
        <v xml:space="preserve">4170066227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111.71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10</v>
      </c>
      <c r="BJ3099">
        <v>4.8</v>
      </c>
      <c r="BK3099">
        <v>10</v>
      </c>
      <c r="BL3099">
        <v>354.55</v>
      </c>
      <c r="BM3099">
        <v>53.18</v>
      </c>
      <c r="BN3099">
        <v>407.73</v>
      </c>
      <c r="BO3099">
        <v>407.73</v>
      </c>
      <c r="BQ3099" t="s">
        <v>309</v>
      </c>
      <c r="BR3099" t="s">
        <v>97</v>
      </c>
      <c r="BS3099" s="3">
        <v>45958</v>
      </c>
      <c r="BT3099" s="4">
        <v>0.3888888888888889</v>
      </c>
      <c r="BU3099" t="s">
        <v>1584</v>
      </c>
      <c r="BV3099" t="s">
        <v>86</v>
      </c>
      <c r="BY3099">
        <v>23850</v>
      </c>
      <c r="CA3099" t="s">
        <v>157</v>
      </c>
      <c r="CC3099" t="s">
        <v>307</v>
      </c>
      <c r="CD3099">
        <v>4113</v>
      </c>
      <c r="CE3099" t="s">
        <v>1319</v>
      </c>
      <c r="CF3099" s="3">
        <v>45959</v>
      </c>
      <c r="CI3099">
        <v>1</v>
      </c>
      <c r="CJ3099">
        <v>1</v>
      </c>
      <c r="CK3099">
        <v>21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"080068754409"</f>
        <v>080068754409</v>
      </c>
      <c r="F3100" s="3">
        <v>45957</v>
      </c>
      <c r="G3100">
        <v>202607</v>
      </c>
      <c r="H3100" t="s">
        <v>79</v>
      </c>
      <c r="I3100" t="s">
        <v>80</v>
      </c>
      <c r="J3100" t="s">
        <v>91</v>
      </c>
      <c r="K3100" t="s">
        <v>78</v>
      </c>
      <c r="L3100" t="s">
        <v>206</v>
      </c>
      <c r="M3100" t="s">
        <v>207</v>
      </c>
      <c r="N3100" t="s">
        <v>734</v>
      </c>
      <c r="O3100" t="s">
        <v>82</v>
      </c>
      <c r="P3100" t="str">
        <f>"4170066217                    "</f>
        <v xml:space="preserve">4170066217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22.36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2</v>
      </c>
      <c r="BJ3100">
        <v>2</v>
      </c>
      <c r="BK3100">
        <v>2</v>
      </c>
      <c r="BL3100">
        <v>70.959999999999994</v>
      </c>
      <c r="BM3100">
        <v>10.64</v>
      </c>
      <c r="BN3100">
        <v>81.599999999999994</v>
      </c>
      <c r="BO3100">
        <v>81.599999999999994</v>
      </c>
      <c r="BQ3100" t="s">
        <v>735</v>
      </c>
      <c r="BR3100" t="s">
        <v>97</v>
      </c>
      <c r="BS3100" s="3">
        <v>45958</v>
      </c>
      <c r="BT3100" s="4">
        <v>0.45902777777777776</v>
      </c>
      <c r="BU3100" t="s">
        <v>736</v>
      </c>
      <c r="BV3100" t="s">
        <v>90</v>
      </c>
      <c r="BW3100" t="s">
        <v>347</v>
      </c>
      <c r="BX3100" t="s">
        <v>2740</v>
      </c>
      <c r="BY3100">
        <v>9900</v>
      </c>
      <c r="CA3100" t="s">
        <v>480</v>
      </c>
      <c r="CC3100" t="s">
        <v>207</v>
      </c>
      <c r="CD3100">
        <v>7480</v>
      </c>
      <c r="CE3100" t="s">
        <v>191</v>
      </c>
      <c r="CF3100" s="3">
        <v>45959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"080068754466"</f>
        <v>080068754466</v>
      </c>
      <c r="F3101" s="3">
        <v>45957</v>
      </c>
      <c r="G3101">
        <v>202607</v>
      </c>
      <c r="H3101" t="s">
        <v>79</v>
      </c>
      <c r="I3101" t="s">
        <v>80</v>
      </c>
      <c r="J3101" t="s">
        <v>91</v>
      </c>
      <c r="K3101" t="s">
        <v>78</v>
      </c>
      <c r="L3101" t="s">
        <v>108</v>
      </c>
      <c r="M3101" t="s">
        <v>109</v>
      </c>
      <c r="N3101" t="s">
        <v>842</v>
      </c>
      <c r="O3101" t="s">
        <v>82</v>
      </c>
      <c r="P3101" t="str">
        <f>"4170066143                    "</f>
        <v xml:space="preserve">4170066143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22.36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2</v>
      </c>
      <c r="BJ3101">
        <v>2</v>
      </c>
      <c r="BK3101">
        <v>2</v>
      </c>
      <c r="BL3101">
        <v>70.959999999999994</v>
      </c>
      <c r="BM3101">
        <v>10.64</v>
      </c>
      <c r="BN3101">
        <v>81.599999999999994</v>
      </c>
      <c r="BO3101">
        <v>81.599999999999994</v>
      </c>
      <c r="BQ3101" t="s">
        <v>2983</v>
      </c>
      <c r="BR3101" t="s">
        <v>97</v>
      </c>
      <c r="BS3101" s="3">
        <v>45958</v>
      </c>
      <c r="BT3101" s="4">
        <v>0.38124999999999998</v>
      </c>
      <c r="BU3101" t="s">
        <v>3420</v>
      </c>
      <c r="BV3101" t="s">
        <v>86</v>
      </c>
      <c r="BY3101">
        <v>9918</v>
      </c>
      <c r="CA3101" t="s">
        <v>1090</v>
      </c>
      <c r="CC3101" t="s">
        <v>109</v>
      </c>
      <c r="CD3101">
        <v>6012</v>
      </c>
      <c r="CE3101" t="s">
        <v>191</v>
      </c>
      <c r="CF3101" s="3">
        <v>45958</v>
      </c>
      <c r="CI3101">
        <v>1</v>
      </c>
      <c r="CJ3101">
        <v>1</v>
      </c>
      <c r="CK3101">
        <v>21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"080068754577"</f>
        <v>080068754577</v>
      </c>
      <c r="F3102" s="3">
        <v>45957</v>
      </c>
      <c r="G3102">
        <v>202607</v>
      </c>
      <c r="H3102" t="s">
        <v>79</v>
      </c>
      <c r="I3102" t="s">
        <v>80</v>
      </c>
      <c r="J3102" t="s">
        <v>91</v>
      </c>
      <c r="K3102" t="s">
        <v>78</v>
      </c>
      <c r="L3102" t="s">
        <v>121</v>
      </c>
      <c r="M3102" t="s">
        <v>122</v>
      </c>
      <c r="N3102" t="s">
        <v>3421</v>
      </c>
      <c r="O3102" t="s">
        <v>82</v>
      </c>
      <c r="P3102" t="str">
        <f>"4170066221                    "</f>
        <v xml:space="preserve">4170066221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106.12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4.3</v>
      </c>
      <c r="BJ3102">
        <v>9.3000000000000007</v>
      </c>
      <c r="BK3102">
        <v>9.5</v>
      </c>
      <c r="BL3102">
        <v>336.82</v>
      </c>
      <c r="BM3102">
        <v>50.52</v>
      </c>
      <c r="BN3102">
        <v>387.34</v>
      </c>
      <c r="BO3102">
        <v>387.34</v>
      </c>
      <c r="BQ3102" t="s">
        <v>3422</v>
      </c>
      <c r="BR3102" t="s">
        <v>97</v>
      </c>
      <c r="BS3102" s="3">
        <v>45958</v>
      </c>
      <c r="BT3102" s="4">
        <v>0.53125</v>
      </c>
      <c r="BU3102" t="s">
        <v>222</v>
      </c>
      <c r="BV3102" t="s">
        <v>86</v>
      </c>
      <c r="BY3102">
        <v>46456.41</v>
      </c>
      <c r="CA3102" t="s">
        <v>3423</v>
      </c>
      <c r="CC3102" t="s">
        <v>122</v>
      </c>
      <c r="CD3102">
        <v>4093</v>
      </c>
      <c r="CE3102" t="s">
        <v>107</v>
      </c>
      <c r="CF3102" s="3">
        <v>45959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"080068754581"</f>
        <v>080068754581</v>
      </c>
      <c r="F3103" s="3">
        <v>45957</v>
      </c>
      <c r="G3103">
        <v>202607</v>
      </c>
      <c r="H3103" t="s">
        <v>79</v>
      </c>
      <c r="I3103" t="s">
        <v>80</v>
      </c>
      <c r="J3103" t="s">
        <v>91</v>
      </c>
      <c r="K3103" t="s">
        <v>78</v>
      </c>
      <c r="L3103" t="s">
        <v>259</v>
      </c>
      <c r="M3103" t="s">
        <v>260</v>
      </c>
      <c r="N3103" t="s">
        <v>261</v>
      </c>
      <c r="O3103" t="s">
        <v>95</v>
      </c>
      <c r="P3103" t="str">
        <f>"4170066161                    "</f>
        <v xml:space="preserve">4170066161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98.34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27</v>
      </c>
      <c r="BJ3103">
        <v>18.3</v>
      </c>
      <c r="BK3103">
        <v>27</v>
      </c>
      <c r="BL3103">
        <v>318</v>
      </c>
      <c r="BM3103">
        <v>47.7</v>
      </c>
      <c r="BN3103">
        <v>365.7</v>
      </c>
      <c r="BO3103">
        <v>365.7</v>
      </c>
      <c r="BQ3103" t="s">
        <v>262</v>
      </c>
      <c r="BR3103" t="s">
        <v>97</v>
      </c>
      <c r="BS3103" s="3">
        <v>45958</v>
      </c>
      <c r="BT3103" s="4">
        <v>0.62847222222222221</v>
      </c>
      <c r="BU3103" t="s">
        <v>2492</v>
      </c>
      <c r="BV3103" t="s">
        <v>86</v>
      </c>
      <c r="BY3103">
        <v>91264</v>
      </c>
      <c r="CA3103" t="s">
        <v>264</v>
      </c>
      <c r="CC3103" t="s">
        <v>260</v>
      </c>
      <c r="CD3103">
        <v>2380</v>
      </c>
      <c r="CE3103" t="s">
        <v>191</v>
      </c>
      <c r="CF3103" s="3">
        <v>45959</v>
      </c>
      <c r="CI3103">
        <v>1</v>
      </c>
      <c r="CJ3103">
        <v>1</v>
      </c>
      <c r="CK3103">
        <v>43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"080068754604"</f>
        <v>080068754604</v>
      </c>
      <c r="F3104" s="3">
        <v>45957</v>
      </c>
      <c r="G3104">
        <v>202607</v>
      </c>
      <c r="H3104" t="s">
        <v>79</v>
      </c>
      <c r="I3104" t="s">
        <v>80</v>
      </c>
      <c r="J3104" t="s">
        <v>91</v>
      </c>
      <c r="K3104" t="s">
        <v>78</v>
      </c>
      <c r="L3104" t="s">
        <v>206</v>
      </c>
      <c r="M3104" t="s">
        <v>207</v>
      </c>
      <c r="N3104" t="s">
        <v>891</v>
      </c>
      <c r="O3104" t="s">
        <v>82</v>
      </c>
      <c r="P3104" t="str">
        <f>"4170066162                    "</f>
        <v xml:space="preserve">4170066162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22.36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1.9</v>
      </c>
      <c r="BK3104">
        <v>2</v>
      </c>
      <c r="BL3104">
        <v>70.959999999999994</v>
      </c>
      <c r="BM3104">
        <v>10.64</v>
      </c>
      <c r="BN3104">
        <v>81.599999999999994</v>
      </c>
      <c r="BO3104">
        <v>81.599999999999994</v>
      </c>
      <c r="BQ3104" t="s">
        <v>892</v>
      </c>
      <c r="BR3104" t="s">
        <v>97</v>
      </c>
      <c r="BS3104" s="3">
        <v>45958</v>
      </c>
      <c r="BT3104" s="4">
        <v>0.4465277777777778</v>
      </c>
      <c r="BU3104" t="s">
        <v>3424</v>
      </c>
      <c r="BV3104" t="s">
        <v>90</v>
      </c>
      <c r="BW3104" t="s">
        <v>188</v>
      </c>
      <c r="BX3104" t="s">
        <v>2043</v>
      </c>
      <c r="BY3104">
        <v>9576</v>
      </c>
      <c r="CC3104" t="s">
        <v>207</v>
      </c>
      <c r="CD3104">
        <v>7925</v>
      </c>
      <c r="CE3104" t="s">
        <v>191</v>
      </c>
      <c r="CF3104" s="3">
        <v>45959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"080068754613"</f>
        <v>080068754613</v>
      </c>
      <c r="F3105" s="3">
        <v>45957</v>
      </c>
      <c r="G3105">
        <v>202607</v>
      </c>
      <c r="H3105" t="s">
        <v>79</v>
      </c>
      <c r="I3105" t="s">
        <v>80</v>
      </c>
      <c r="J3105" t="s">
        <v>91</v>
      </c>
      <c r="K3105" t="s">
        <v>78</v>
      </c>
      <c r="L3105" t="s">
        <v>168</v>
      </c>
      <c r="M3105" t="s">
        <v>169</v>
      </c>
      <c r="N3105" t="s">
        <v>170</v>
      </c>
      <c r="O3105" t="s">
        <v>95</v>
      </c>
      <c r="P3105" t="str">
        <f>"4170066182                    "</f>
        <v xml:space="preserve">4170066182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43.23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0.2</v>
      </c>
      <c r="BJ3105">
        <v>3.4</v>
      </c>
      <c r="BK3105">
        <v>4</v>
      </c>
      <c r="BL3105">
        <v>143.08000000000001</v>
      </c>
      <c r="BM3105">
        <v>21.46</v>
      </c>
      <c r="BN3105">
        <v>164.54</v>
      </c>
      <c r="BO3105">
        <v>164.54</v>
      </c>
      <c r="BQ3105" t="s">
        <v>171</v>
      </c>
      <c r="BR3105" t="s">
        <v>97</v>
      </c>
      <c r="BS3105" s="3">
        <v>45958</v>
      </c>
      <c r="BT3105" s="4">
        <v>0.33819444444444446</v>
      </c>
      <c r="BU3105" t="s">
        <v>332</v>
      </c>
      <c r="BV3105" t="s">
        <v>86</v>
      </c>
      <c r="BY3105">
        <v>17168.580000000002</v>
      </c>
      <c r="CA3105">
        <v>7712195338085</v>
      </c>
      <c r="CC3105" t="s">
        <v>169</v>
      </c>
      <c r="CD3105" s="5" t="s">
        <v>173</v>
      </c>
      <c r="CE3105" t="s">
        <v>191</v>
      </c>
      <c r="CF3105" s="3">
        <v>45958</v>
      </c>
      <c r="CI3105">
        <v>1</v>
      </c>
      <c r="CJ3105">
        <v>1</v>
      </c>
      <c r="CK3105">
        <v>41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"080068754636"</f>
        <v>080068754636</v>
      </c>
      <c r="F3106" s="3">
        <v>45957</v>
      </c>
      <c r="G3106">
        <v>202607</v>
      </c>
      <c r="H3106" t="s">
        <v>79</v>
      </c>
      <c r="I3106" t="s">
        <v>80</v>
      </c>
      <c r="J3106" t="s">
        <v>91</v>
      </c>
      <c r="K3106" t="s">
        <v>78</v>
      </c>
      <c r="L3106" t="s">
        <v>763</v>
      </c>
      <c r="M3106" t="s">
        <v>764</v>
      </c>
      <c r="N3106" t="s">
        <v>765</v>
      </c>
      <c r="O3106" t="s">
        <v>82</v>
      </c>
      <c r="P3106" t="str">
        <f>"4170066172                    "</f>
        <v xml:space="preserve">4170066172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43.31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0.2</v>
      </c>
      <c r="BJ3106">
        <v>0.7</v>
      </c>
      <c r="BK3106">
        <v>1</v>
      </c>
      <c r="BL3106">
        <v>137.47</v>
      </c>
      <c r="BM3106">
        <v>20.62</v>
      </c>
      <c r="BN3106">
        <v>158.09</v>
      </c>
      <c r="BO3106">
        <v>158.09</v>
      </c>
      <c r="BQ3106" t="s">
        <v>766</v>
      </c>
      <c r="BR3106" t="s">
        <v>97</v>
      </c>
      <c r="BS3106" s="3">
        <v>45958</v>
      </c>
      <c r="BT3106" s="4">
        <v>0.52013888888888893</v>
      </c>
      <c r="BU3106" t="s">
        <v>3425</v>
      </c>
      <c r="BV3106" t="s">
        <v>86</v>
      </c>
      <c r="BY3106">
        <v>3661.63</v>
      </c>
      <c r="CA3106" t="s">
        <v>768</v>
      </c>
      <c r="CC3106" t="s">
        <v>764</v>
      </c>
      <c r="CD3106">
        <v>2531</v>
      </c>
      <c r="CE3106" t="s">
        <v>191</v>
      </c>
      <c r="CF3106" s="3">
        <v>45959</v>
      </c>
      <c r="CI3106">
        <v>1</v>
      </c>
      <c r="CJ3106">
        <v>1</v>
      </c>
      <c r="CK3106">
        <v>23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"080068754640"</f>
        <v>080068754640</v>
      </c>
      <c r="F3107" s="3">
        <v>45957</v>
      </c>
      <c r="G3107">
        <v>202607</v>
      </c>
      <c r="H3107" t="s">
        <v>79</v>
      </c>
      <c r="I3107" t="s">
        <v>80</v>
      </c>
      <c r="J3107" t="s">
        <v>91</v>
      </c>
      <c r="K3107" t="s">
        <v>78</v>
      </c>
      <c r="L3107" t="s">
        <v>233</v>
      </c>
      <c r="M3107" t="s">
        <v>234</v>
      </c>
      <c r="N3107" t="s">
        <v>1066</v>
      </c>
      <c r="O3107" t="s">
        <v>82</v>
      </c>
      <c r="P3107" t="str">
        <f>"4170066183                    "</f>
        <v xml:space="preserve">4170066183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22.36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2</v>
      </c>
      <c r="BJ3107">
        <v>1.9</v>
      </c>
      <c r="BK3107">
        <v>2</v>
      </c>
      <c r="BL3107">
        <v>70.959999999999994</v>
      </c>
      <c r="BM3107">
        <v>10.64</v>
      </c>
      <c r="BN3107">
        <v>81.599999999999994</v>
      </c>
      <c r="BO3107">
        <v>81.599999999999994</v>
      </c>
      <c r="BQ3107" t="s">
        <v>1067</v>
      </c>
      <c r="BR3107" t="s">
        <v>97</v>
      </c>
      <c r="BS3107" s="3">
        <v>45958</v>
      </c>
      <c r="BT3107" s="4">
        <v>0.34444444444444444</v>
      </c>
      <c r="BU3107" t="s">
        <v>1068</v>
      </c>
      <c r="BV3107" t="s">
        <v>86</v>
      </c>
      <c r="BY3107">
        <v>9576</v>
      </c>
      <c r="CA3107">
        <v>7104145194083</v>
      </c>
      <c r="CC3107" t="s">
        <v>234</v>
      </c>
      <c r="CD3107" s="5" t="s">
        <v>238</v>
      </c>
      <c r="CE3107" t="s">
        <v>191</v>
      </c>
      <c r="CF3107" s="3">
        <v>45958</v>
      </c>
      <c r="CI3107">
        <v>1</v>
      </c>
      <c r="CJ3107">
        <v>1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"080068754678"</f>
        <v>080068754678</v>
      </c>
      <c r="F3108" s="3">
        <v>45957</v>
      </c>
      <c r="G3108">
        <v>202607</v>
      </c>
      <c r="H3108" t="s">
        <v>79</v>
      </c>
      <c r="I3108" t="s">
        <v>80</v>
      </c>
      <c r="J3108" t="s">
        <v>91</v>
      </c>
      <c r="K3108" t="s">
        <v>78</v>
      </c>
      <c r="L3108" t="s">
        <v>223</v>
      </c>
      <c r="M3108" t="s">
        <v>224</v>
      </c>
      <c r="N3108" t="s">
        <v>505</v>
      </c>
      <c r="O3108" t="s">
        <v>82</v>
      </c>
      <c r="P3108" t="str">
        <f>"4170066139                    "</f>
        <v xml:space="preserve">4170066139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17.46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</v>
      </c>
      <c r="BJ3108">
        <v>1.9</v>
      </c>
      <c r="BK3108">
        <v>2</v>
      </c>
      <c r="BL3108">
        <v>55.42</v>
      </c>
      <c r="BM3108">
        <v>8.31</v>
      </c>
      <c r="BN3108">
        <v>63.73</v>
      </c>
      <c r="BO3108">
        <v>63.73</v>
      </c>
      <c r="BQ3108" t="s">
        <v>506</v>
      </c>
      <c r="BR3108" t="s">
        <v>97</v>
      </c>
      <c r="BS3108" s="3">
        <v>45958</v>
      </c>
      <c r="BT3108" s="4">
        <v>0.30138888888888887</v>
      </c>
      <c r="BU3108" t="s">
        <v>507</v>
      </c>
      <c r="BV3108" t="s">
        <v>86</v>
      </c>
      <c r="BY3108">
        <v>9576</v>
      </c>
      <c r="CA3108" t="s">
        <v>508</v>
      </c>
      <c r="CC3108" t="s">
        <v>224</v>
      </c>
      <c r="CD3108">
        <v>1459</v>
      </c>
      <c r="CE3108" t="s">
        <v>191</v>
      </c>
      <c r="CF3108" s="3">
        <v>45959</v>
      </c>
      <c r="CI3108">
        <v>1</v>
      </c>
      <c r="CJ3108">
        <v>1</v>
      </c>
      <c r="CK3108">
        <v>22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"080068754681"</f>
        <v>080068754681</v>
      </c>
      <c r="F3109" s="3">
        <v>45957</v>
      </c>
      <c r="G3109">
        <v>202607</v>
      </c>
      <c r="H3109" t="s">
        <v>79</v>
      </c>
      <c r="I3109" t="s">
        <v>80</v>
      </c>
      <c r="J3109" t="s">
        <v>91</v>
      </c>
      <c r="K3109" t="s">
        <v>78</v>
      </c>
      <c r="L3109" t="s">
        <v>108</v>
      </c>
      <c r="M3109" t="s">
        <v>109</v>
      </c>
      <c r="N3109" t="s">
        <v>548</v>
      </c>
      <c r="O3109" t="s">
        <v>82</v>
      </c>
      <c r="P3109" t="str">
        <f>"4170066157                    "</f>
        <v xml:space="preserve">4170066157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22.36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0.2</v>
      </c>
      <c r="BJ3109">
        <v>1.5</v>
      </c>
      <c r="BK3109">
        <v>1.5</v>
      </c>
      <c r="BL3109">
        <v>70.959999999999994</v>
      </c>
      <c r="BM3109">
        <v>10.64</v>
      </c>
      <c r="BN3109">
        <v>81.599999999999994</v>
      </c>
      <c r="BO3109">
        <v>81.599999999999994</v>
      </c>
      <c r="BQ3109" t="s">
        <v>549</v>
      </c>
      <c r="BR3109" t="s">
        <v>97</v>
      </c>
      <c r="BS3109" s="3">
        <v>45958</v>
      </c>
      <c r="BT3109" s="4">
        <v>0.3215277777777778</v>
      </c>
      <c r="BU3109" t="s">
        <v>1710</v>
      </c>
      <c r="BV3109" t="s">
        <v>86</v>
      </c>
      <c r="BY3109">
        <v>7430.7</v>
      </c>
      <c r="CA3109" t="s">
        <v>1090</v>
      </c>
      <c r="CC3109" t="s">
        <v>109</v>
      </c>
      <c r="CD3109">
        <v>6001</v>
      </c>
      <c r="CE3109" t="s">
        <v>147</v>
      </c>
      <c r="CF3109" s="3">
        <v>45958</v>
      </c>
      <c r="CI3109">
        <v>1</v>
      </c>
      <c r="CJ3109">
        <v>1</v>
      </c>
      <c r="CK3109">
        <v>21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"080068754715"</f>
        <v>080068754715</v>
      </c>
      <c r="F3110" s="3">
        <v>45957</v>
      </c>
      <c r="G3110">
        <v>202607</v>
      </c>
      <c r="H3110" t="s">
        <v>79</v>
      </c>
      <c r="I3110" t="s">
        <v>80</v>
      </c>
      <c r="J3110" t="s">
        <v>91</v>
      </c>
      <c r="K3110" t="s">
        <v>78</v>
      </c>
      <c r="L3110" t="s">
        <v>1008</v>
      </c>
      <c r="M3110" t="s">
        <v>1009</v>
      </c>
      <c r="N3110" t="s">
        <v>1010</v>
      </c>
      <c r="O3110" t="s">
        <v>82</v>
      </c>
      <c r="P3110" t="str">
        <f>"4170066202                    "</f>
        <v xml:space="preserve">4170066202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31.44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99.79</v>
      </c>
      <c r="BM3110">
        <v>14.97</v>
      </c>
      <c r="BN3110">
        <v>114.76</v>
      </c>
      <c r="BO3110">
        <v>114.76</v>
      </c>
      <c r="BQ3110" t="s">
        <v>1011</v>
      </c>
      <c r="BR3110" t="s">
        <v>97</v>
      </c>
      <c r="BS3110" s="3">
        <v>45958</v>
      </c>
      <c r="BT3110" s="4">
        <v>0.2951388888888889</v>
      </c>
      <c r="BU3110" t="s">
        <v>3419</v>
      </c>
      <c r="BV3110" t="s">
        <v>86</v>
      </c>
      <c r="BY3110">
        <v>1200</v>
      </c>
      <c r="CA3110" t="s">
        <v>2194</v>
      </c>
      <c r="CC3110" t="s">
        <v>1009</v>
      </c>
      <c r="CD3110">
        <v>1759</v>
      </c>
      <c r="CE3110" t="s">
        <v>147</v>
      </c>
      <c r="CF3110" s="3">
        <v>45958</v>
      </c>
      <c r="CI3110">
        <v>1</v>
      </c>
      <c r="CJ3110">
        <v>1</v>
      </c>
      <c r="CK3110">
        <v>24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"080068754736"</f>
        <v>080068754736</v>
      </c>
      <c r="F3111" s="3">
        <v>45957</v>
      </c>
      <c r="G3111">
        <v>202607</v>
      </c>
      <c r="H3111" t="s">
        <v>79</v>
      </c>
      <c r="I3111" t="s">
        <v>80</v>
      </c>
      <c r="J3111" t="s">
        <v>91</v>
      </c>
      <c r="K3111" t="s">
        <v>78</v>
      </c>
      <c r="L3111" t="s">
        <v>809</v>
      </c>
      <c r="M3111" t="s">
        <v>810</v>
      </c>
      <c r="N3111" t="s">
        <v>3397</v>
      </c>
      <c r="O3111" t="s">
        <v>82</v>
      </c>
      <c r="P3111" t="str">
        <f>"4170066228                    "</f>
        <v xml:space="preserve">4170066228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17.46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1.1000000000000001</v>
      </c>
      <c r="BJ3111">
        <v>2.8</v>
      </c>
      <c r="BK3111">
        <v>3</v>
      </c>
      <c r="BL3111">
        <v>55.42</v>
      </c>
      <c r="BM3111">
        <v>8.31</v>
      </c>
      <c r="BN3111">
        <v>63.73</v>
      </c>
      <c r="BO3111">
        <v>63.73</v>
      </c>
      <c r="BQ3111" t="s">
        <v>3398</v>
      </c>
      <c r="BR3111" t="s">
        <v>97</v>
      </c>
      <c r="BS3111" s="3">
        <v>45958</v>
      </c>
      <c r="BT3111" s="4">
        <v>0.4201388888888889</v>
      </c>
      <c r="BU3111" t="s">
        <v>3426</v>
      </c>
      <c r="BV3111" t="s">
        <v>86</v>
      </c>
      <c r="BY3111">
        <v>13961.16</v>
      </c>
      <c r="CA3111" t="s">
        <v>3427</v>
      </c>
      <c r="CC3111" t="s">
        <v>810</v>
      </c>
      <c r="CD3111">
        <v>1724</v>
      </c>
      <c r="CE3111" t="s">
        <v>107</v>
      </c>
      <c r="CF3111" s="3">
        <v>45959</v>
      </c>
      <c r="CI3111">
        <v>1</v>
      </c>
      <c r="CJ3111">
        <v>1</v>
      </c>
      <c r="CK3111">
        <v>22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"080068754752"</f>
        <v>080068754752</v>
      </c>
      <c r="F3112" s="3">
        <v>45957</v>
      </c>
      <c r="G3112">
        <v>202607</v>
      </c>
      <c r="H3112" t="s">
        <v>79</v>
      </c>
      <c r="I3112" t="s">
        <v>80</v>
      </c>
      <c r="J3112" t="s">
        <v>91</v>
      </c>
      <c r="K3112" t="s">
        <v>78</v>
      </c>
      <c r="L3112" t="s">
        <v>206</v>
      </c>
      <c r="M3112" t="s">
        <v>207</v>
      </c>
      <c r="N3112" t="s">
        <v>427</v>
      </c>
      <c r="O3112" t="s">
        <v>82</v>
      </c>
      <c r="P3112" t="str">
        <f>"4170066226                    "</f>
        <v xml:space="preserve">4170066226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22.36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70.959999999999994</v>
      </c>
      <c r="BM3112">
        <v>10.64</v>
      </c>
      <c r="BN3112">
        <v>81.599999999999994</v>
      </c>
      <c r="BO3112">
        <v>81.599999999999994</v>
      </c>
      <c r="BQ3112" t="s">
        <v>428</v>
      </c>
      <c r="BR3112" t="s">
        <v>97</v>
      </c>
      <c r="BS3112" s="3">
        <v>45958</v>
      </c>
      <c r="BT3112" s="4">
        <v>0.38541666666666669</v>
      </c>
      <c r="BU3112" t="s">
        <v>3428</v>
      </c>
      <c r="BV3112" t="s">
        <v>86</v>
      </c>
      <c r="BY3112">
        <v>1200</v>
      </c>
      <c r="CA3112" t="s">
        <v>785</v>
      </c>
      <c r="CC3112" t="s">
        <v>207</v>
      </c>
      <c r="CD3112">
        <v>7530</v>
      </c>
      <c r="CE3112" t="s">
        <v>147</v>
      </c>
      <c r="CF3112" s="3">
        <v>45959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"080068754772"</f>
        <v>080068754772</v>
      </c>
      <c r="F3113" s="3">
        <v>45957</v>
      </c>
      <c r="G3113">
        <v>202607</v>
      </c>
      <c r="H3113" t="s">
        <v>79</v>
      </c>
      <c r="I3113" t="s">
        <v>80</v>
      </c>
      <c r="J3113" t="s">
        <v>91</v>
      </c>
      <c r="K3113" t="s">
        <v>78</v>
      </c>
      <c r="L3113" t="s">
        <v>79</v>
      </c>
      <c r="M3113" t="s">
        <v>80</v>
      </c>
      <c r="N3113" t="s">
        <v>1040</v>
      </c>
      <c r="O3113" t="s">
        <v>82</v>
      </c>
      <c r="P3113" t="str">
        <f>"4170066235                    "</f>
        <v xml:space="preserve">4170066235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17.46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55.42</v>
      </c>
      <c r="BM3113">
        <v>8.31</v>
      </c>
      <c r="BN3113">
        <v>63.73</v>
      </c>
      <c r="BO3113">
        <v>63.73</v>
      </c>
      <c r="BQ3113" t="s">
        <v>1041</v>
      </c>
      <c r="BR3113" t="s">
        <v>97</v>
      </c>
      <c r="BS3113" s="3">
        <v>45958</v>
      </c>
      <c r="BT3113" s="4">
        <v>0.29166666666666669</v>
      </c>
      <c r="BU3113" t="s">
        <v>1662</v>
      </c>
      <c r="BV3113" t="s">
        <v>86</v>
      </c>
      <c r="BY3113">
        <v>1200</v>
      </c>
      <c r="CA3113" t="s">
        <v>166</v>
      </c>
      <c r="CC3113" t="s">
        <v>80</v>
      </c>
      <c r="CD3113">
        <v>1600</v>
      </c>
      <c r="CE3113" t="s">
        <v>147</v>
      </c>
      <c r="CF3113" s="3">
        <v>45959</v>
      </c>
      <c r="CI3113">
        <v>1</v>
      </c>
      <c r="CJ3113">
        <v>1</v>
      </c>
      <c r="CK3113">
        <v>22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"080068754807"</f>
        <v>080068754807</v>
      </c>
      <c r="F3114" s="3">
        <v>45957</v>
      </c>
      <c r="G3114">
        <v>202607</v>
      </c>
      <c r="H3114" t="s">
        <v>79</v>
      </c>
      <c r="I3114" t="s">
        <v>80</v>
      </c>
      <c r="J3114" t="s">
        <v>91</v>
      </c>
      <c r="K3114" t="s">
        <v>78</v>
      </c>
      <c r="L3114" t="s">
        <v>121</v>
      </c>
      <c r="M3114" t="s">
        <v>122</v>
      </c>
      <c r="N3114" t="s">
        <v>632</v>
      </c>
      <c r="O3114" t="s">
        <v>82</v>
      </c>
      <c r="P3114" t="str">
        <f>"4170066175                    "</f>
        <v xml:space="preserve">4170066175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22.36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70.959999999999994</v>
      </c>
      <c r="BM3114">
        <v>10.64</v>
      </c>
      <c r="BN3114">
        <v>81.599999999999994</v>
      </c>
      <c r="BO3114">
        <v>81.599999999999994</v>
      </c>
      <c r="BQ3114" t="s">
        <v>633</v>
      </c>
      <c r="BR3114" t="s">
        <v>97</v>
      </c>
      <c r="BS3114" s="3">
        <v>45958</v>
      </c>
      <c r="BT3114" s="4">
        <v>0.43055555555555558</v>
      </c>
      <c r="BU3114" t="s">
        <v>3298</v>
      </c>
      <c r="BV3114" t="s">
        <v>86</v>
      </c>
      <c r="BY3114">
        <v>1200</v>
      </c>
      <c r="CA3114" t="s">
        <v>635</v>
      </c>
      <c r="CC3114" t="s">
        <v>122</v>
      </c>
      <c r="CD3114">
        <v>4000</v>
      </c>
      <c r="CE3114" t="s">
        <v>147</v>
      </c>
      <c r="CF3114" s="3">
        <v>45959</v>
      </c>
      <c r="CI3114">
        <v>1</v>
      </c>
      <c r="CJ3114">
        <v>1</v>
      </c>
      <c r="CK3114">
        <v>21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"080068754836"</f>
        <v>080068754836</v>
      </c>
      <c r="F3115" s="3">
        <v>45957</v>
      </c>
      <c r="G3115">
        <v>202607</v>
      </c>
      <c r="H3115" t="s">
        <v>79</v>
      </c>
      <c r="I3115" t="s">
        <v>80</v>
      </c>
      <c r="J3115" t="s">
        <v>91</v>
      </c>
      <c r="K3115" t="s">
        <v>78</v>
      </c>
      <c r="L3115" t="s">
        <v>223</v>
      </c>
      <c r="M3115" t="s">
        <v>224</v>
      </c>
      <c r="N3115" t="s">
        <v>3429</v>
      </c>
      <c r="O3115" t="s">
        <v>82</v>
      </c>
      <c r="P3115" t="str">
        <f>"4170066242                    "</f>
        <v xml:space="preserve">4170066242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17.46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0.2</v>
      </c>
      <c r="BJ3115">
        <v>0.9</v>
      </c>
      <c r="BK3115">
        <v>1</v>
      </c>
      <c r="BL3115">
        <v>55.42</v>
      </c>
      <c r="BM3115">
        <v>8.31</v>
      </c>
      <c r="BN3115">
        <v>63.73</v>
      </c>
      <c r="BO3115">
        <v>63.73</v>
      </c>
      <c r="BQ3115" t="s">
        <v>3430</v>
      </c>
      <c r="BR3115" t="s">
        <v>97</v>
      </c>
      <c r="BS3115" s="3">
        <v>45958</v>
      </c>
      <c r="BT3115" s="4">
        <v>0.54652777777777772</v>
      </c>
      <c r="BU3115" t="s">
        <v>3431</v>
      </c>
      <c r="BV3115" t="s">
        <v>90</v>
      </c>
      <c r="BW3115" t="s">
        <v>188</v>
      </c>
      <c r="BX3115" t="s">
        <v>1317</v>
      </c>
      <c r="BY3115">
        <v>4381</v>
      </c>
      <c r="CA3115" t="s">
        <v>580</v>
      </c>
      <c r="CC3115" t="s">
        <v>224</v>
      </c>
      <c r="CD3115">
        <v>1459</v>
      </c>
      <c r="CE3115" t="s">
        <v>147</v>
      </c>
      <c r="CF3115" s="3">
        <v>45958</v>
      </c>
      <c r="CI3115">
        <v>1</v>
      </c>
      <c r="CJ3115">
        <v>1</v>
      </c>
      <c r="CK3115">
        <v>22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"080068754874"</f>
        <v>080068754874</v>
      </c>
      <c r="F3116" s="3">
        <v>45957</v>
      </c>
      <c r="G3116">
        <v>202607</v>
      </c>
      <c r="H3116" t="s">
        <v>79</v>
      </c>
      <c r="I3116" t="s">
        <v>80</v>
      </c>
      <c r="J3116" t="s">
        <v>91</v>
      </c>
      <c r="K3116" t="s">
        <v>78</v>
      </c>
      <c r="L3116" t="s">
        <v>168</v>
      </c>
      <c r="M3116" t="s">
        <v>169</v>
      </c>
      <c r="N3116" t="s">
        <v>1010</v>
      </c>
      <c r="O3116" t="s">
        <v>82</v>
      </c>
      <c r="P3116" t="str">
        <f>"4170066236                    "</f>
        <v xml:space="preserve">4170066236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22.36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70.959999999999994</v>
      </c>
      <c r="BM3116">
        <v>10.64</v>
      </c>
      <c r="BN3116">
        <v>81.599999999999994</v>
      </c>
      <c r="BO3116">
        <v>81.599999999999994</v>
      </c>
      <c r="BQ3116" t="s">
        <v>3044</v>
      </c>
      <c r="BR3116" t="s">
        <v>97</v>
      </c>
      <c r="BS3116" s="3">
        <v>45958</v>
      </c>
      <c r="BT3116" s="4">
        <v>0.43055555555555558</v>
      </c>
      <c r="BU3116" t="s">
        <v>3045</v>
      </c>
      <c r="BV3116" t="s">
        <v>86</v>
      </c>
      <c r="BY3116">
        <v>1200</v>
      </c>
      <c r="CA3116">
        <v>8110305701087</v>
      </c>
      <c r="CC3116" t="s">
        <v>169</v>
      </c>
      <c r="CD3116" s="5" t="s">
        <v>839</v>
      </c>
      <c r="CE3116" t="s">
        <v>147</v>
      </c>
      <c r="CF3116" s="3">
        <v>45958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"080068754901"</f>
        <v>080068754901</v>
      </c>
      <c r="F3117" s="3">
        <v>45957</v>
      </c>
      <c r="G3117">
        <v>202607</v>
      </c>
      <c r="H3117" t="s">
        <v>79</v>
      </c>
      <c r="I3117" t="s">
        <v>80</v>
      </c>
      <c r="J3117" t="s">
        <v>91</v>
      </c>
      <c r="K3117" t="s">
        <v>78</v>
      </c>
      <c r="L3117" t="s">
        <v>271</v>
      </c>
      <c r="M3117" t="s">
        <v>272</v>
      </c>
      <c r="N3117" t="s">
        <v>273</v>
      </c>
      <c r="O3117" t="s">
        <v>82</v>
      </c>
      <c r="P3117" t="str">
        <f>"4170066199                    "</f>
        <v xml:space="preserve">4170066199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17.46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0.2</v>
      </c>
      <c r="BJ3117">
        <v>1.7</v>
      </c>
      <c r="BK3117">
        <v>2</v>
      </c>
      <c r="BL3117">
        <v>55.42</v>
      </c>
      <c r="BM3117">
        <v>8.31</v>
      </c>
      <c r="BN3117">
        <v>63.73</v>
      </c>
      <c r="BO3117">
        <v>63.73</v>
      </c>
      <c r="BQ3117" t="s">
        <v>274</v>
      </c>
      <c r="BR3117" t="s">
        <v>97</v>
      </c>
      <c r="BS3117" s="3">
        <v>45958</v>
      </c>
      <c r="BT3117" s="4">
        <v>0.41666666666666669</v>
      </c>
      <c r="BU3117" t="s">
        <v>1901</v>
      </c>
      <c r="BV3117" t="s">
        <v>86</v>
      </c>
      <c r="BY3117">
        <v>8280.7199999999993</v>
      </c>
      <c r="CA3117" t="s">
        <v>661</v>
      </c>
      <c r="CC3117" t="s">
        <v>272</v>
      </c>
      <c r="CD3117">
        <v>1422</v>
      </c>
      <c r="CE3117" t="s">
        <v>147</v>
      </c>
      <c r="CF3117" s="3">
        <v>45959</v>
      </c>
      <c r="CI3117">
        <v>1</v>
      </c>
      <c r="CJ3117">
        <v>1</v>
      </c>
      <c r="CK3117">
        <v>22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"080068754934"</f>
        <v>080068754934</v>
      </c>
      <c r="F3118" s="3">
        <v>45957</v>
      </c>
      <c r="G3118">
        <v>202607</v>
      </c>
      <c r="H3118" t="s">
        <v>79</v>
      </c>
      <c r="I3118" t="s">
        <v>80</v>
      </c>
      <c r="J3118" t="s">
        <v>91</v>
      </c>
      <c r="K3118" t="s">
        <v>78</v>
      </c>
      <c r="L3118" t="s">
        <v>223</v>
      </c>
      <c r="M3118" t="s">
        <v>224</v>
      </c>
      <c r="N3118" t="s">
        <v>1968</v>
      </c>
      <c r="O3118" t="s">
        <v>82</v>
      </c>
      <c r="P3118" t="str">
        <f>"4170066211                    "</f>
        <v xml:space="preserve">4170066211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17.46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0.2</v>
      </c>
      <c r="BJ3118">
        <v>1.2</v>
      </c>
      <c r="BK3118">
        <v>2</v>
      </c>
      <c r="BL3118">
        <v>55.42</v>
      </c>
      <c r="BM3118">
        <v>8.31</v>
      </c>
      <c r="BN3118">
        <v>63.73</v>
      </c>
      <c r="BO3118">
        <v>63.73</v>
      </c>
      <c r="BQ3118" t="s">
        <v>1969</v>
      </c>
      <c r="BR3118" t="s">
        <v>97</v>
      </c>
      <c r="BS3118" s="3">
        <v>45958</v>
      </c>
      <c r="BT3118" s="4">
        <v>0.33055555555555555</v>
      </c>
      <c r="BU3118" t="s">
        <v>3432</v>
      </c>
      <c r="BV3118" t="s">
        <v>86</v>
      </c>
      <c r="BY3118">
        <v>5933</v>
      </c>
      <c r="CA3118" t="s">
        <v>1110</v>
      </c>
      <c r="CC3118" t="s">
        <v>224</v>
      </c>
      <c r="CD3118">
        <v>1460</v>
      </c>
      <c r="CE3118" t="s">
        <v>147</v>
      </c>
      <c r="CF3118" s="3">
        <v>45959</v>
      </c>
      <c r="CI3118">
        <v>1</v>
      </c>
      <c r="CJ3118">
        <v>1</v>
      </c>
      <c r="CK3118">
        <v>22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"080068754969"</f>
        <v>080068754969</v>
      </c>
      <c r="F3119" s="3">
        <v>45957</v>
      </c>
      <c r="G3119">
        <v>202607</v>
      </c>
      <c r="H3119" t="s">
        <v>79</v>
      </c>
      <c r="I3119" t="s">
        <v>80</v>
      </c>
      <c r="J3119" t="s">
        <v>91</v>
      </c>
      <c r="K3119" t="s">
        <v>78</v>
      </c>
      <c r="L3119" t="s">
        <v>206</v>
      </c>
      <c r="M3119" t="s">
        <v>207</v>
      </c>
      <c r="N3119" t="s">
        <v>335</v>
      </c>
      <c r="O3119" t="s">
        <v>82</v>
      </c>
      <c r="P3119" t="str">
        <f>"4170066155                    "</f>
        <v xml:space="preserve">4170066155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22.36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70.959999999999994</v>
      </c>
      <c r="BM3119">
        <v>10.64</v>
      </c>
      <c r="BN3119">
        <v>81.599999999999994</v>
      </c>
      <c r="BO3119">
        <v>81.599999999999994</v>
      </c>
      <c r="BQ3119" t="s">
        <v>475</v>
      </c>
      <c r="BR3119" t="s">
        <v>97</v>
      </c>
      <c r="BS3119" s="3">
        <v>45958</v>
      </c>
      <c r="BT3119" s="4">
        <v>0.45208333333333334</v>
      </c>
      <c r="BU3119" t="s">
        <v>3327</v>
      </c>
      <c r="BV3119" t="s">
        <v>90</v>
      </c>
      <c r="BW3119" t="s">
        <v>347</v>
      </c>
      <c r="BX3119" t="s">
        <v>2740</v>
      </c>
      <c r="BY3119">
        <v>1200</v>
      </c>
      <c r="CA3119" t="s">
        <v>3328</v>
      </c>
      <c r="CC3119" t="s">
        <v>207</v>
      </c>
      <c r="CD3119">
        <v>7700</v>
      </c>
      <c r="CE3119" t="s">
        <v>147</v>
      </c>
      <c r="CF3119" s="3">
        <v>45959</v>
      </c>
      <c r="CI3119">
        <v>1</v>
      </c>
      <c r="CJ3119">
        <v>1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"080068755000"</f>
        <v>080068755000</v>
      </c>
      <c r="F3120" s="3">
        <v>45957</v>
      </c>
      <c r="G3120">
        <v>202607</v>
      </c>
      <c r="H3120" t="s">
        <v>79</v>
      </c>
      <c r="I3120" t="s">
        <v>80</v>
      </c>
      <c r="J3120" t="s">
        <v>91</v>
      </c>
      <c r="K3120" t="s">
        <v>78</v>
      </c>
      <c r="L3120" t="s">
        <v>108</v>
      </c>
      <c r="M3120" t="s">
        <v>109</v>
      </c>
      <c r="N3120" t="s">
        <v>229</v>
      </c>
      <c r="O3120" t="s">
        <v>82</v>
      </c>
      <c r="P3120" t="str">
        <f>"4170066142                    "</f>
        <v xml:space="preserve">4170066142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22.36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0.2</v>
      </c>
      <c r="BJ3120">
        <v>1.1000000000000001</v>
      </c>
      <c r="BK3120">
        <v>1.5</v>
      </c>
      <c r="BL3120">
        <v>70.959999999999994</v>
      </c>
      <c r="BM3120">
        <v>10.64</v>
      </c>
      <c r="BN3120">
        <v>81.599999999999994</v>
      </c>
      <c r="BO3120">
        <v>81.599999999999994</v>
      </c>
      <c r="BQ3120" t="s">
        <v>230</v>
      </c>
      <c r="BR3120" t="s">
        <v>97</v>
      </c>
      <c r="BS3120" s="3">
        <v>45958</v>
      </c>
      <c r="BT3120" s="4">
        <v>0.38263888888888886</v>
      </c>
      <c r="BU3120" t="s">
        <v>2883</v>
      </c>
      <c r="BV3120" t="s">
        <v>86</v>
      </c>
      <c r="BY3120">
        <v>5413.23</v>
      </c>
      <c r="CA3120" t="s">
        <v>1145</v>
      </c>
      <c r="CC3120" t="s">
        <v>109</v>
      </c>
      <c r="CD3120">
        <v>6001</v>
      </c>
      <c r="CE3120" t="s">
        <v>147</v>
      </c>
      <c r="CF3120" s="3">
        <v>45958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"080068755057"</f>
        <v>080068755057</v>
      </c>
      <c r="F3121" s="3">
        <v>45957</v>
      </c>
      <c r="G3121">
        <v>202607</v>
      </c>
      <c r="H3121" t="s">
        <v>79</v>
      </c>
      <c r="I3121" t="s">
        <v>80</v>
      </c>
      <c r="J3121" t="s">
        <v>91</v>
      </c>
      <c r="K3121" t="s">
        <v>78</v>
      </c>
      <c r="L3121" t="s">
        <v>223</v>
      </c>
      <c r="M3121" t="s">
        <v>224</v>
      </c>
      <c r="N3121" t="s">
        <v>1464</v>
      </c>
      <c r="O3121" t="s">
        <v>82</v>
      </c>
      <c r="P3121" t="str">
        <f>"4170066190                    "</f>
        <v xml:space="preserve">4170066190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17.46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2.6</v>
      </c>
      <c r="BJ3121">
        <v>1.5</v>
      </c>
      <c r="BK3121">
        <v>3</v>
      </c>
      <c r="BL3121">
        <v>55.42</v>
      </c>
      <c r="BM3121">
        <v>8.31</v>
      </c>
      <c r="BN3121">
        <v>63.73</v>
      </c>
      <c r="BO3121">
        <v>63.73</v>
      </c>
      <c r="BQ3121" t="s">
        <v>1465</v>
      </c>
      <c r="BR3121" t="s">
        <v>97</v>
      </c>
      <c r="BS3121" s="3">
        <v>45958</v>
      </c>
      <c r="BT3121" s="4">
        <v>0.4236111111111111</v>
      </c>
      <c r="BU3121" t="s">
        <v>2518</v>
      </c>
      <c r="BV3121" t="s">
        <v>86</v>
      </c>
      <c r="BY3121">
        <v>7464.96</v>
      </c>
      <c r="CA3121" t="s">
        <v>1110</v>
      </c>
      <c r="CC3121" t="s">
        <v>224</v>
      </c>
      <c r="CD3121">
        <v>1459</v>
      </c>
      <c r="CE3121" t="s">
        <v>191</v>
      </c>
      <c r="CF3121" s="3">
        <v>45959</v>
      </c>
      <c r="CI3121">
        <v>1</v>
      </c>
      <c r="CJ3121">
        <v>1</v>
      </c>
      <c r="CK3121">
        <v>22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"080068755094"</f>
        <v>080068755094</v>
      </c>
      <c r="F3122" s="3">
        <v>45957</v>
      </c>
      <c r="G3122">
        <v>202607</v>
      </c>
      <c r="H3122" t="s">
        <v>79</v>
      </c>
      <c r="I3122" t="s">
        <v>80</v>
      </c>
      <c r="J3122" t="s">
        <v>91</v>
      </c>
      <c r="K3122" t="s">
        <v>78</v>
      </c>
      <c r="L3122" t="s">
        <v>446</v>
      </c>
      <c r="M3122" t="s">
        <v>447</v>
      </c>
      <c r="N3122" t="s">
        <v>448</v>
      </c>
      <c r="O3122" t="s">
        <v>82</v>
      </c>
      <c r="P3122" t="str">
        <f>"4170066179                    "</f>
        <v xml:space="preserve">4170066179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92.21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3</v>
      </c>
      <c r="BJ3122">
        <v>4.0999999999999996</v>
      </c>
      <c r="BK3122">
        <v>4.5</v>
      </c>
      <c r="BL3122">
        <v>292.67</v>
      </c>
      <c r="BM3122">
        <v>43.9</v>
      </c>
      <c r="BN3122">
        <v>336.57</v>
      </c>
      <c r="BO3122">
        <v>336.57</v>
      </c>
      <c r="BQ3122" t="s">
        <v>449</v>
      </c>
      <c r="BR3122" t="s">
        <v>97</v>
      </c>
      <c r="BS3122" s="3">
        <v>45958</v>
      </c>
      <c r="BT3122" s="4">
        <v>0.47847222222222224</v>
      </c>
      <c r="BU3122" t="s">
        <v>782</v>
      </c>
      <c r="BV3122" t="s">
        <v>86</v>
      </c>
      <c r="BY3122">
        <v>20358</v>
      </c>
      <c r="CA3122" t="s">
        <v>2085</v>
      </c>
      <c r="CC3122" t="s">
        <v>447</v>
      </c>
      <c r="CD3122">
        <v>7130</v>
      </c>
      <c r="CE3122" t="s">
        <v>191</v>
      </c>
      <c r="CF3122" s="3">
        <v>45959</v>
      </c>
      <c r="CI3122">
        <v>1</v>
      </c>
      <c r="CJ3122">
        <v>1</v>
      </c>
      <c r="CK3122">
        <v>23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"080068755124"</f>
        <v>080068755124</v>
      </c>
      <c r="F3123" s="3">
        <v>45957</v>
      </c>
      <c r="G3123">
        <v>202607</v>
      </c>
      <c r="H3123" t="s">
        <v>79</v>
      </c>
      <c r="I3123" t="s">
        <v>80</v>
      </c>
      <c r="J3123" t="s">
        <v>91</v>
      </c>
      <c r="K3123" t="s">
        <v>78</v>
      </c>
      <c r="L3123" t="s">
        <v>75</v>
      </c>
      <c r="M3123" t="s">
        <v>76</v>
      </c>
      <c r="N3123" t="s">
        <v>2177</v>
      </c>
      <c r="O3123" t="s">
        <v>82</v>
      </c>
      <c r="P3123" t="str">
        <f>"4170066160                    "</f>
        <v xml:space="preserve">4170066160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17.46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0.2</v>
      </c>
      <c r="BJ3123">
        <v>1.2</v>
      </c>
      <c r="BK3123">
        <v>2</v>
      </c>
      <c r="BL3123">
        <v>55.42</v>
      </c>
      <c r="BM3123">
        <v>8.31</v>
      </c>
      <c r="BN3123">
        <v>63.73</v>
      </c>
      <c r="BO3123">
        <v>63.73</v>
      </c>
      <c r="BQ3123" t="s">
        <v>2178</v>
      </c>
      <c r="BR3123" t="s">
        <v>97</v>
      </c>
      <c r="BS3123" s="3">
        <v>45958</v>
      </c>
      <c r="BT3123" s="4">
        <v>0.55555555555555558</v>
      </c>
      <c r="BU3123" t="s">
        <v>3433</v>
      </c>
      <c r="BV3123" t="s">
        <v>90</v>
      </c>
      <c r="BW3123" t="s">
        <v>771</v>
      </c>
      <c r="BX3123" t="s">
        <v>2766</v>
      </c>
      <c r="BY3123">
        <v>5795.9</v>
      </c>
      <c r="CA3123" t="s">
        <v>305</v>
      </c>
      <c r="CC3123" t="s">
        <v>76</v>
      </c>
      <c r="CD3123">
        <v>2163</v>
      </c>
      <c r="CE3123" t="s">
        <v>191</v>
      </c>
      <c r="CF3123" s="3">
        <v>45959</v>
      </c>
      <c r="CI3123">
        <v>1</v>
      </c>
      <c r="CJ3123">
        <v>1</v>
      </c>
      <c r="CK3123">
        <v>22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"080068755166"</f>
        <v>080068755166</v>
      </c>
      <c r="F3124" s="3">
        <v>45957</v>
      </c>
      <c r="G3124">
        <v>202607</v>
      </c>
      <c r="H3124" t="s">
        <v>79</v>
      </c>
      <c r="I3124" t="s">
        <v>80</v>
      </c>
      <c r="J3124" t="s">
        <v>91</v>
      </c>
      <c r="K3124" t="s">
        <v>78</v>
      </c>
      <c r="L3124" t="s">
        <v>121</v>
      </c>
      <c r="M3124" t="s">
        <v>122</v>
      </c>
      <c r="N3124" t="s">
        <v>424</v>
      </c>
      <c r="O3124" t="s">
        <v>82</v>
      </c>
      <c r="P3124" t="str">
        <f>"4170066195                    "</f>
        <v xml:space="preserve">4170066195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33.520000000000003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3</v>
      </c>
      <c r="BJ3124">
        <v>1.9</v>
      </c>
      <c r="BK3124">
        <v>3</v>
      </c>
      <c r="BL3124">
        <v>106.4</v>
      </c>
      <c r="BM3124">
        <v>15.96</v>
      </c>
      <c r="BN3124">
        <v>122.36</v>
      </c>
      <c r="BO3124">
        <v>122.36</v>
      </c>
      <c r="BQ3124" t="s">
        <v>425</v>
      </c>
      <c r="BR3124" t="s">
        <v>97</v>
      </c>
      <c r="BS3124" s="3">
        <v>45958</v>
      </c>
      <c r="BT3124" s="4">
        <v>0.43055555555555558</v>
      </c>
      <c r="BU3124" t="s">
        <v>3434</v>
      </c>
      <c r="BV3124" t="s">
        <v>86</v>
      </c>
      <c r="BY3124">
        <v>9576</v>
      </c>
      <c r="CA3124" t="s">
        <v>157</v>
      </c>
      <c r="CC3124" t="s">
        <v>122</v>
      </c>
      <c r="CD3124">
        <v>4052</v>
      </c>
      <c r="CE3124" t="s">
        <v>191</v>
      </c>
      <c r="CF3124" s="3">
        <v>45959</v>
      </c>
      <c r="CI3124">
        <v>1</v>
      </c>
      <c r="CJ3124">
        <v>1</v>
      </c>
      <c r="CK3124">
        <v>21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"080068755228"</f>
        <v>080068755228</v>
      </c>
      <c r="F3125" s="3">
        <v>45957</v>
      </c>
      <c r="G3125">
        <v>202607</v>
      </c>
      <c r="H3125" t="s">
        <v>79</v>
      </c>
      <c r="I3125" t="s">
        <v>80</v>
      </c>
      <c r="J3125" t="s">
        <v>91</v>
      </c>
      <c r="K3125" t="s">
        <v>78</v>
      </c>
      <c r="L3125" t="s">
        <v>168</v>
      </c>
      <c r="M3125" t="s">
        <v>169</v>
      </c>
      <c r="N3125" t="s">
        <v>335</v>
      </c>
      <c r="O3125" t="s">
        <v>95</v>
      </c>
      <c r="P3125" t="str">
        <f>"4170066165                    "</f>
        <v xml:space="preserve">4170066165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43.23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3.6</v>
      </c>
      <c r="BJ3125">
        <v>1.6</v>
      </c>
      <c r="BK3125">
        <v>4</v>
      </c>
      <c r="BL3125">
        <v>143.08000000000001</v>
      </c>
      <c r="BM3125">
        <v>21.46</v>
      </c>
      <c r="BN3125">
        <v>164.54</v>
      </c>
      <c r="BO3125">
        <v>164.54</v>
      </c>
      <c r="BQ3125" t="s">
        <v>475</v>
      </c>
      <c r="BR3125" t="s">
        <v>97</v>
      </c>
      <c r="BS3125" s="3">
        <v>45958</v>
      </c>
      <c r="BT3125" s="4">
        <v>0.42430555555555555</v>
      </c>
      <c r="BU3125" t="s">
        <v>897</v>
      </c>
      <c r="BV3125" t="s">
        <v>86</v>
      </c>
      <c r="BY3125">
        <v>7863.35</v>
      </c>
      <c r="CA3125">
        <v>8303236124087</v>
      </c>
      <c r="CC3125" t="s">
        <v>169</v>
      </c>
      <c r="CD3125" s="5" t="s">
        <v>190</v>
      </c>
      <c r="CE3125" t="s">
        <v>191</v>
      </c>
      <c r="CF3125" s="3">
        <v>45958</v>
      </c>
      <c r="CI3125">
        <v>1</v>
      </c>
      <c r="CJ3125">
        <v>1</v>
      </c>
      <c r="CK3125">
        <v>41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"080068755281"</f>
        <v>080068755281</v>
      </c>
      <c r="F3126" s="3">
        <v>45957</v>
      </c>
      <c r="G3126">
        <v>202607</v>
      </c>
      <c r="H3126" t="s">
        <v>79</v>
      </c>
      <c r="I3126" t="s">
        <v>80</v>
      </c>
      <c r="J3126" t="s">
        <v>91</v>
      </c>
      <c r="K3126" t="s">
        <v>78</v>
      </c>
      <c r="L3126" t="s">
        <v>168</v>
      </c>
      <c r="M3126" t="s">
        <v>169</v>
      </c>
      <c r="N3126" t="s">
        <v>688</v>
      </c>
      <c r="O3126" t="s">
        <v>82</v>
      </c>
      <c r="P3126" t="str">
        <f>"4170066204                    "</f>
        <v xml:space="preserve">4170066204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22.36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70.959999999999994</v>
      </c>
      <c r="BM3126">
        <v>10.64</v>
      </c>
      <c r="BN3126">
        <v>81.599999999999994</v>
      </c>
      <c r="BO3126">
        <v>81.599999999999994</v>
      </c>
      <c r="BQ3126" t="s">
        <v>689</v>
      </c>
      <c r="BR3126" t="s">
        <v>97</v>
      </c>
      <c r="BS3126" s="3">
        <v>45958</v>
      </c>
      <c r="BT3126" s="4">
        <v>0.40069444444444446</v>
      </c>
      <c r="BU3126" t="s">
        <v>3435</v>
      </c>
      <c r="BV3126" t="s">
        <v>86</v>
      </c>
      <c r="BY3126">
        <v>1200</v>
      </c>
      <c r="CA3126">
        <v>8303236124087</v>
      </c>
      <c r="CC3126" t="s">
        <v>169</v>
      </c>
      <c r="CD3126" s="5" t="s">
        <v>190</v>
      </c>
      <c r="CE3126" t="s">
        <v>147</v>
      </c>
      <c r="CF3126" s="3">
        <v>45958</v>
      </c>
      <c r="CI3126">
        <v>1</v>
      </c>
      <c r="CJ3126">
        <v>1</v>
      </c>
      <c r="CK3126">
        <v>21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"080068755317"</f>
        <v>080068755317</v>
      </c>
      <c r="F3127" s="3">
        <v>45957</v>
      </c>
      <c r="G3127">
        <v>202607</v>
      </c>
      <c r="H3127" t="s">
        <v>79</v>
      </c>
      <c r="I3127" t="s">
        <v>80</v>
      </c>
      <c r="J3127" t="s">
        <v>91</v>
      </c>
      <c r="K3127" t="s">
        <v>78</v>
      </c>
      <c r="L3127" t="s">
        <v>763</v>
      </c>
      <c r="M3127" t="s">
        <v>764</v>
      </c>
      <c r="N3127" t="s">
        <v>765</v>
      </c>
      <c r="O3127" t="s">
        <v>82</v>
      </c>
      <c r="P3127" t="str">
        <f>"4170066191                    "</f>
        <v xml:space="preserve">4170066191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111.77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5.4</v>
      </c>
      <c r="BJ3127">
        <v>2.9</v>
      </c>
      <c r="BK3127">
        <v>5.5</v>
      </c>
      <c r="BL3127">
        <v>354.75</v>
      </c>
      <c r="BM3127">
        <v>53.21</v>
      </c>
      <c r="BN3127">
        <v>407.96</v>
      </c>
      <c r="BO3127">
        <v>407.96</v>
      </c>
      <c r="BQ3127" t="s">
        <v>766</v>
      </c>
      <c r="BR3127" t="s">
        <v>97</v>
      </c>
      <c r="BS3127" s="3">
        <v>45958</v>
      </c>
      <c r="BT3127" s="4">
        <v>0.52013888888888893</v>
      </c>
      <c r="BU3127" t="s">
        <v>1003</v>
      </c>
      <c r="BV3127" t="s">
        <v>86</v>
      </c>
      <c r="BY3127">
        <v>14679.84</v>
      </c>
      <c r="CA3127" t="s">
        <v>768</v>
      </c>
      <c r="CC3127" t="s">
        <v>764</v>
      </c>
      <c r="CD3127">
        <v>2531</v>
      </c>
      <c r="CE3127" t="s">
        <v>107</v>
      </c>
      <c r="CF3127" s="3">
        <v>45959</v>
      </c>
      <c r="CI3127">
        <v>1</v>
      </c>
      <c r="CJ3127">
        <v>1</v>
      </c>
      <c r="CK3127">
        <v>23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"080068755515"</f>
        <v>080068755515</v>
      </c>
      <c r="F3128" s="3">
        <v>45957</v>
      </c>
      <c r="G3128">
        <v>202607</v>
      </c>
      <c r="H3128" t="s">
        <v>79</v>
      </c>
      <c r="I3128" t="s">
        <v>80</v>
      </c>
      <c r="J3128" t="s">
        <v>91</v>
      </c>
      <c r="K3128" t="s">
        <v>78</v>
      </c>
      <c r="L3128" t="s">
        <v>530</v>
      </c>
      <c r="M3128" t="s">
        <v>531</v>
      </c>
      <c r="N3128" t="s">
        <v>3323</v>
      </c>
      <c r="O3128" t="s">
        <v>82</v>
      </c>
      <c r="P3128" t="str">
        <f>"4170066225                    "</f>
        <v xml:space="preserve">4170066225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82.43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4</v>
      </c>
      <c r="BJ3128">
        <v>1.8</v>
      </c>
      <c r="BK3128">
        <v>4</v>
      </c>
      <c r="BL3128">
        <v>261.63</v>
      </c>
      <c r="BM3128">
        <v>39.24</v>
      </c>
      <c r="BN3128">
        <v>300.87</v>
      </c>
      <c r="BO3128">
        <v>300.87</v>
      </c>
      <c r="BQ3128" t="s">
        <v>3324</v>
      </c>
      <c r="BR3128" t="s">
        <v>97</v>
      </c>
      <c r="BS3128" s="3">
        <v>45958</v>
      </c>
      <c r="BT3128" s="4">
        <v>0.56597222222222221</v>
      </c>
      <c r="BU3128" t="s">
        <v>3436</v>
      </c>
      <c r="BV3128" t="s">
        <v>86</v>
      </c>
      <c r="BY3128">
        <v>9072</v>
      </c>
      <c r="CA3128" t="s">
        <v>1245</v>
      </c>
      <c r="CC3128" t="s">
        <v>531</v>
      </c>
      <c r="CD3128">
        <v>6849</v>
      </c>
      <c r="CE3128" t="s">
        <v>107</v>
      </c>
      <c r="CF3128" s="3">
        <v>45959</v>
      </c>
      <c r="CI3128">
        <v>2</v>
      </c>
      <c r="CJ3128">
        <v>1</v>
      </c>
      <c r="CK3128">
        <v>23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"080068755569"</f>
        <v>080068755569</v>
      </c>
      <c r="F3129" s="3">
        <v>45957</v>
      </c>
      <c r="G3129">
        <v>202607</v>
      </c>
      <c r="H3129" t="s">
        <v>79</v>
      </c>
      <c r="I3129" t="s">
        <v>80</v>
      </c>
      <c r="J3129" t="s">
        <v>91</v>
      </c>
      <c r="K3129" t="s">
        <v>78</v>
      </c>
      <c r="L3129" t="s">
        <v>108</v>
      </c>
      <c r="M3129" t="s">
        <v>109</v>
      </c>
      <c r="N3129" t="s">
        <v>548</v>
      </c>
      <c r="O3129" t="s">
        <v>82</v>
      </c>
      <c r="P3129" t="str">
        <f>"4170066230                    "</f>
        <v xml:space="preserve">4170066230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22.36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0.2</v>
      </c>
      <c r="BJ3129">
        <v>0.1</v>
      </c>
      <c r="BK3129">
        <v>0.5</v>
      </c>
      <c r="BL3129">
        <v>70.959999999999994</v>
      </c>
      <c r="BM3129">
        <v>10.64</v>
      </c>
      <c r="BN3129">
        <v>81.599999999999994</v>
      </c>
      <c r="BO3129">
        <v>81.599999999999994</v>
      </c>
      <c r="BQ3129" t="s">
        <v>549</v>
      </c>
      <c r="BR3129" t="s">
        <v>97</v>
      </c>
      <c r="BS3129" s="3">
        <v>45958</v>
      </c>
      <c r="BT3129" s="4">
        <v>0.32083333333333336</v>
      </c>
      <c r="BU3129" t="s">
        <v>3437</v>
      </c>
      <c r="BV3129" t="s">
        <v>86</v>
      </c>
      <c r="BY3129">
        <v>303.05</v>
      </c>
      <c r="CA3129" t="s">
        <v>1090</v>
      </c>
      <c r="CC3129" t="s">
        <v>109</v>
      </c>
      <c r="CD3129">
        <v>6001</v>
      </c>
      <c r="CE3129" t="s">
        <v>191</v>
      </c>
      <c r="CF3129" s="3">
        <v>45958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"080068755568"</f>
        <v>080068755568</v>
      </c>
      <c r="F3130" s="3">
        <v>45957</v>
      </c>
      <c r="G3130">
        <v>202607</v>
      </c>
      <c r="H3130" t="s">
        <v>79</v>
      </c>
      <c r="I3130" t="s">
        <v>80</v>
      </c>
      <c r="J3130" t="s">
        <v>91</v>
      </c>
      <c r="K3130" t="s">
        <v>78</v>
      </c>
      <c r="L3130" t="s">
        <v>322</v>
      </c>
      <c r="M3130" t="s">
        <v>322</v>
      </c>
      <c r="N3130" t="s">
        <v>2011</v>
      </c>
      <c r="O3130" t="s">
        <v>82</v>
      </c>
      <c r="P3130" t="str">
        <f>"4170066170                    "</f>
        <v xml:space="preserve">4170066170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43.31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137.47</v>
      </c>
      <c r="BM3130">
        <v>20.62</v>
      </c>
      <c r="BN3130">
        <v>158.09</v>
      </c>
      <c r="BO3130">
        <v>158.09</v>
      </c>
      <c r="BQ3130" t="s">
        <v>2012</v>
      </c>
      <c r="BR3130" t="s">
        <v>97</v>
      </c>
      <c r="BS3130" s="3">
        <v>45958</v>
      </c>
      <c r="BT3130" s="4">
        <v>0.44513888888888886</v>
      </c>
      <c r="BU3130" t="s">
        <v>3438</v>
      </c>
      <c r="BV3130" t="s">
        <v>86</v>
      </c>
      <c r="BY3130">
        <v>1200</v>
      </c>
      <c r="CA3130" t="s">
        <v>1669</v>
      </c>
      <c r="CC3130" t="s">
        <v>322</v>
      </c>
      <c r="CD3130">
        <v>7646</v>
      </c>
      <c r="CE3130" t="s">
        <v>147</v>
      </c>
      <c r="CF3130" s="3">
        <v>45959</v>
      </c>
      <c r="CI3130">
        <v>1</v>
      </c>
      <c r="CJ3130">
        <v>1</v>
      </c>
      <c r="CK3130">
        <v>23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"080068755600"</f>
        <v>080068755600</v>
      </c>
      <c r="F3131" s="3">
        <v>45957</v>
      </c>
      <c r="G3131">
        <v>202607</v>
      </c>
      <c r="H3131" t="s">
        <v>79</v>
      </c>
      <c r="I3131" t="s">
        <v>80</v>
      </c>
      <c r="J3131" t="s">
        <v>91</v>
      </c>
      <c r="K3131" t="s">
        <v>78</v>
      </c>
      <c r="L3131" t="s">
        <v>206</v>
      </c>
      <c r="M3131" t="s">
        <v>207</v>
      </c>
      <c r="N3131" t="s">
        <v>698</v>
      </c>
      <c r="O3131" t="s">
        <v>82</v>
      </c>
      <c r="P3131" t="str">
        <f>"4170066171                    "</f>
        <v xml:space="preserve">4170066171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22.36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70.959999999999994</v>
      </c>
      <c r="BM3131">
        <v>10.64</v>
      </c>
      <c r="BN3131">
        <v>81.599999999999994</v>
      </c>
      <c r="BO3131">
        <v>81.599999999999994</v>
      </c>
      <c r="BQ3131" t="s">
        <v>699</v>
      </c>
      <c r="BR3131" t="s">
        <v>97</v>
      </c>
      <c r="BS3131" s="3">
        <v>45958</v>
      </c>
      <c r="BT3131" s="4">
        <v>0.4284722222222222</v>
      </c>
      <c r="BU3131" t="s">
        <v>700</v>
      </c>
      <c r="BV3131" t="s">
        <v>86</v>
      </c>
      <c r="BY3131">
        <v>1200</v>
      </c>
      <c r="CA3131" t="s">
        <v>375</v>
      </c>
      <c r="CC3131" t="s">
        <v>207</v>
      </c>
      <c r="CD3131">
        <v>7800</v>
      </c>
      <c r="CE3131" t="s">
        <v>147</v>
      </c>
      <c r="CF3131" s="3">
        <v>45959</v>
      </c>
      <c r="CI3131">
        <v>1</v>
      </c>
      <c r="CJ3131">
        <v>1</v>
      </c>
      <c r="CK3131">
        <v>21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"080068755615"</f>
        <v>080068755615</v>
      </c>
      <c r="F3132" s="3">
        <v>45957</v>
      </c>
      <c r="G3132">
        <v>202607</v>
      </c>
      <c r="H3132" t="s">
        <v>79</v>
      </c>
      <c r="I3132" t="s">
        <v>80</v>
      </c>
      <c r="J3132" t="s">
        <v>91</v>
      </c>
      <c r="K3132" t="s">
        <v>78</v>
      </c>
      <c r="L3132" t="s">
        <v>446</v>
      </c>
      <c r="M3132" t="s">
        <v>447</v>
      </c>
      <c r="N3132" t="s">
        <v>448</v>
      </c>
      <c r="O3132" t="s">
        <v>82</v>
      </c>
      <c r="P3132" t="str">
        <f>"4170066224                    "</f>
        <v xml:space="preserve">4170066224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43.31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2</v>
      </c>
      <c r="BJ3132">
        <v>1.1000000000000001</v>
      </c>
      <c r="BK3132">
        <v>2</v>
      </c>
      <c r="BL3132">
        <v>137.47</v>
      </c>
      <c r="BM3132">
        <v>20.62</v>
      </c>
      <c r="BN3132">
        <v>158.09</v>
      </c>
      <c r="BO3132">
        <v>158.09</v>
      </c>
      <c r="BQ3132" t="s">
        <v>449</v>
      </c>
      <c r="BR3132" t="s">
        <v>97</v>
      </c>
      <c r="BS3132" s="3">
        <v>45958</v>
      </c>
      <c r="BT3132" s="4">
        <v>0.47847222222222224</v>
      </c>
      <c r="BU3132" t="s">
        <v>782</v>
      </c>
      <c r="BV3132" t="s">
        <v>86</v>
      </c>
      <c r="BY3132">
        <v>5510</v>
      </c>
      <c r="CA3132" t="s">
        <v>2085</v>
      </c>
      <c r="CC3132" t="s">
        <v>447</v>
      </c>
      <c r="CD3132">
        <v>7130</v>
      </c>
      <c r="CE3132" t="s">
        <v>191</v>
      </c>
      <c r="CF3132" s="3">
        <v>45959</v>
      </c>
      <c r="CI3132">
        <v>1</v>
      </c>
      <c r="CJ3132">
        <v>1</v>
      </c>
      <c r="CK3132">
        <v>23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"080068755643"</f>
        <v>080068755643</v>
      </c>
      <c r="F3133" s="3">
        <v>45957</v>
      </c>
      <c r="G3133">
        <v>202607</v>
      </c>
      <c r="H3133" t="s">
        <v>79</v>
      </c>
      <c r="I3133" t="s">
        <v>80</v>
      </c>
      <c r="J3133" t="s">
        <v>91</v>
      </c>
      <c r="K3133" t="s">
        <v>78</v>
      </c>
      <c r="L3133" t="s">
        <v>1736</v>
      </c>
      <c r="M3133" t="s">
        <v>1737</v>
      </c>
      <c r="N3133" t="s">
        <v>3439</v>
      </c>
      <c r="O3133" t="s">
        <v>82</v>
      </c>
      <c r="P3133" t="str">
        <f>"4170066164                    "</f>
        <v xml:space="preserve">4170066164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22.36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70.959999999999994</v>
      </c>
      <c r="BM3133">
        <v>10.64</v>
      </c>
      <c r="BN3133">
        <v>81.599999999999994</v>
      </c>
      <c r="BO3133">
        <v>81.599999999999994</v>
      </c>
      <c r="BQ3133" t="s">
        <v>3440</v>
      </c>
      <c r="BR3133" t="s">
        <v>97</v>
      </c>
      <c r="BS3133" s="3">
        <v>45958</v>
      </c>
      <c r="BT3133" s="4">
        <v>0.40138888888888891</v>
      </c>
      <c r="BU3133" t="s">
        <v>3441</v>
      </c>
      <c r="BV3133" t="s">
        <v>86</v>
      </c>
      <c r="BY3133">
        <v>1200</v>
      </c>
      <c r="CA3133" t="s">
        <v>157</v>
      </c>
      <c r="CC3133" t="s">
        <v>1737</v>
      </c>
      <c r="CD3133">
        <v>4026</v>
      </c>
      <c r="CE3133" t="s">
        <v>147</v>
      </c>
      <c r="CF3133" s="3">
        <v>45959</v>
      </c>
      <c r="CI3133">
        <v>1</v>
      </c>
      <c r="CJ3133">
        <v>1</v>
      </c>
      <c r="CK3133">
        <v>21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"080068755680"</f>
        <v>080068755680</v>
      </c>
      <c r="F3134" s="3">
        <v>45957</v>
      </c>
      <c r="G3134">
        <v>202607</v>
      </c>
      <c r="H3134" t="s">
        <v>79</v>
      </c>
      <c r="I3134" t="s">
        <v>80</v>
      </c>
      <c r="J3134" t="s">
        <v>91</v>
      </c>
      <c r="K3134" t="s">
        <v>78</v>
      </c>
      <c r="L3134" t="s">
        <v>148</v>
      </c>
      <c r="M3134" t="s">
        <v>149</v>
      </c>
      <c r="N3134" t="s">
        <v>905</v>
      </c>
      <c r="O3134" t="s">
        <v>82</v>
      </c>
      <c r="P3134" t="str">
        <f>"4170066180                    "</f>
        <v xml:space="preserve">4170066180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17.46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55.42</v>
      </c>
      <c r="BM3134">
        <v>8.31</v>
      </c>
      <c r="BN3134">
        <v>63.73</v>
      </c>
      <c r="BO3134">
        <v>63.73</v>
      </c>
      <c r="BQ3134" t="s">
        <v>906</v>
      </c>
      <c r="BR3134" t="s">
        <v>97</v>
      </c>
      <c r="BS3134" s="3">
        <v>45958</v>
      </c>
      <c r="BT3134" s="4">
        <v>0.34722222222222221</v>
      </c>
      <c r="BU3134" t="s">
        <v>1327</v>
      </c>
      <c r="BV3134" t="s">
        <v>86</v>
      </c>
      <c r="BY3134">
        <v>1200</v>
      </c>
      <c r="CA3134" t="s">
        <v>519</v>
      </c>
      <c r="CC3134" t="s">
        <v>149</v>
      </c>
      <c r="CD3134">
        <v>2094</v>
      </c>
      <c r="CE3134" t="s">
        <v>147</v>
      </c>
      <c r="CF3134" s="3">
        <v>45958</v>
      </c>
      <c r="CI3134">
        <v>1</v>
      </c>
      <c r="CJ3134">
        <v>1</v>
      </c>
      <c r="CK3134">
        <v>22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"080068755718"</f>
        <v>080068755718</v>
      </c>
      <c r="F3135" s="3">
        <v>45957</v>
      </c>
      <c r="G3135">
        <v>202607</v>
      </c>
      <c r="H3135" t="s">
        <v>79</v>
      </c>
      <c r="I3135" t="s">
        <v>80</v>
      </c>
      <c r="J3135" t="s">
        <v>91</v>
      </c>
      <c r="K3135" t="s">
        <v>78</v>
      </c>
      <c r="L3135" t="s">
        <v>300</v>
      </c>
      <c r="M3135" t="s">
        <v>301</v>
      </c>
      <c r="N3135" t="s">
        <v>335</v>
      </c>
      <c r="O3135" t="s">
        <v>82</v>
      </c>
      <c r="P3135" t="str">
        <f>"4170066166                    "</f>
        <v xml:space="preserve">4170066166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31.44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0.2</v>
      </c>
      <c r="BJ3135">
        <v>1.1000000000000001</v>
      </c>
      <c r="BK3135">
        <v>1.5</v>
      </c>
      <c r="BL3135">
        <v>99.79</v>
      </c>
      <c r="BM3135">
        <v>14.97</v>
      </c>
      <c r="BN3135">
        <v>114.76</v>
      </c>
      <c r="BO3135">
        <v>114.76</v>
      </c>
      <c r="BQ3135" t="s">
        <v>475</v>
      </c>
      <c r="BR3135" t="s">
        <v>97</v>
      </c>
      <c r="BS3135" s="3">
        <v>45959</v>
      </c>
      <c r="BT3135" s="4">
        <v>0.41666666666666669</v>
      </c>
      <c r="BU3135" t="s">
        <v>3442</v>
      </c>
      <c r="BV3135" t="s">
        <v>90</v>
      </c>
      <c r="BW3135" t="s">
        <v>3082</v>
      </c>
      <c r="BX3135" t="s">
        <v>677</v>
      </c>
      <c r="BY3135">
        <v>5353.92</v>
      </c>
      <c r="CA3135" t="s">
        <v>3443</v>
      </c>
      <c r="CC3135" t="s">
        <v>301</v>
      </c>
      <c r="CD3135">
        <v>1754</v>
      </c>
      <c r="CE3135" t="s">
        <v>147</v>
      </c>
      <c r="CF3135" s="3">
        <v>45959</v>
      </c>
      <c r="CI3135">
        <v>1</v>
      </c>
      <c r="CJ3135">
        <v>2</v>
      </c>
      <c r="CK3135">
        <v>24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"080068755745"</f>
        <v>080068755745</v>
      </c>
      <c r="F3136" s="3">
        <v>45957</v>
      </c>
      <c r="G3136">
        <v>202607</v>
      </c>
      <c r="H3136" t="s">
        <v>79</v>
      </c>
      <c r="I3136" t="s">
        <v>80</v>
      </c>
      <c r="J3136" t="s">
        <v>91</v>
      </c>
      <c r="K3136" t="s">
        <v>78</v>
      </c>
      <c r="L3136" t="s">
        <v>223</v>
      </c>
      <c r="M3136" t="s">
        <v>224</v>
      </c>
      <c r="N3136" t="s">
        <v>1464</v>
      </c>
      <c r="O3136" t="s">
        <v>82</v>
      </c>
      <c r="P3136" t="str">
        <f>"4170066156                    "</f>
        <v xml:space="preserve">4170066156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30.02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0.2</v>
      </c>
      <c r="BJ3136">
        <v>13.5</v>
      </c>
      <c r="BK3136">
        <v>14</v>
      </c>
      <c r="BL3136">
        <v>95.28</v>
      </c>
      <c r="BM3136">
        <v>14.29</v>
      </c>
      <c r="BN3136">
        <v>109.57</v>
      </c>
      <c r="BO3136">
        <v>109.57</v>
      </c>
      <c r="BQ3136" t="s">
        <v>1465</v>
      </c>
      <c r="BR3136" t="s">
        <v>97</v>
      </c>
      <c r="BS3136" s="3">
        <v>45958</v>
      </c>
      <c r="BT3136" s="4">
        <v>0.4236111111111111</v>
      </c>
      <c r="BU3136" t="s">
        <v>2518</v>
      </c>
      <c r="BV3136" t="s">
        <v>86</v>
      </c>
      <c r="BY3136">
        <v>67570.070000000007</v>
      </c>
      <c r="CA3136" t="s">
        <v>1110</v>
      </c>
      <c r="CC3136" t="s">
        <v>224</v>
      </c>
      <c r="CD3136">
        <v>1459</v>
      </c>
      <c r="CE3136" t="s">
        <v>147</v>
      </c>
      <c r="CF3136" s="3">
        <v>45959</v>
      </c>
      <c r="CI3136">
        <v>1</v>
      </c>
      <c r="CJ3136">
        <v>1</v>
      </c>
      <c r="CK3136">
        <v>22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"080068755786"</f>
        <v>080068755786</v>
      </c>
      <c r="F3137" s="3">
        <v>45957</v>
      </c>
      <c r="G3137">
        <v>202607</v>
      </c>
      <c r="H3137" t="s">
        <v>79</v>
      </c>
      <c r="I3137" t="s">
        <v>80</v>
      </c>
      <c r="J3137" t="s">
        <v>91</v>
      </c>
      <c r="K3137" t="s">
        <v>78</v>
      </c>
      <c r="L3137" t="s">
        <v>79</v>
      </c>
      <c r="M3137" t="s">
        <v>80</v>
      </c>
      <c r="N3137" t="s">
        <v>2816</v>
      </c>
      <c r="O3137" t="s">
        <v>82</v>
      </c>
      <c r="P3137" t="str">
        <f>"4170066233                    "</f>
        <v xml:space="preserve">4170066233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17.46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0.2</v>
      </c>
      <c r="BJ3137">
        <v>1.4</v>
      </c>
      <c r="BK3137">
        <v>2</v>
      </c>
      <c r="BL3137">
        <v>55.42</v>
      </c>
      <c r="BM3137">
        <v>8.31</v>
      </c>
      <c r="BN3137">
        <v>63.73</v>
      </c>
      <c r="BO3137">
        <v>63.73</v>
      </c>
      <c r="BQ3137" t="s">
        <v>2817</v>
      </c>
      <c r="BR3137" t="s">
        <v>97</v>
      </c>
      <c r="BS3137" s="3">
        <v>45958</v>
      </c>
      <c r="BT3137" s="4">
        <v>0.29166666666666669</v>
      </c>
      <c r="BU3137" t="s">
        <v>1662</v>
      </c>
      <c r="BV3137" t="s">
        <v>86</v>
      </c>
      <c r="BY3137">
        <v>6799.07</v>
      </c>
      <c r="CA3137" t="s">
        <v>166</v>
      </c>
      <c r="CC3137" t="s">
        <v>80</v>
      </c>
      <c r="CD3137">
        <v>1600</v>
      </c>
      <c r="CE3137" t="s">
        <v>147</v>
      </c>
      <c r="CF3137" s="3">
        <v>45959</v>
      </c>
      <c r="CI3137">
        <v>1</v>
      </c>
      <c r="CJ3137">
        <v>1</v>
      </c>
      <c r="CK3137">
        <v>22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"080068755928"</f>
        <v>080068755928</v>
      </c>
      <c r="F3138" s="3">
        <v>45957</v>
      </c>
      <c r="G3138">
        <v>202607</v>
      </c>
      <c r="H3138" t="s">
        <v>79</v>
      </c>
      <c r="I3138" t="s">
        <v>80</v>
      </c>
      <c r="J3138" t="s">
        <v>91</v>
      </c>
      <c r="K3138" t="s">
        <v>78</v>
      </c>
      <c r="L3138" t="s">
        <v>206</v>
      </c>
      <c r="M3138" t="s">
        <v>207</v>
      </c>
      <c r="N3138" t="s">
        <v>891</v>
      </c>
      <c r="O3138" t="s">
        <v>82</v>
      </c>
      <c r="P3138" t="str">
        <f>"4170066218                    "</f>
        <v xml:space="preserve">4170066218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22.36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2</v>
      </c>
      <c r="BJ3138">
        <v>1.1000000000000001</v>
      </c>
      <c r="BK3138">
        <v>2</v>
      </c>
      <c r="BL3138">
        <v>70.959999999999994</v>
      </c>
      <c r="BM3138">
        <v>10.64</v>
      </c>
      <c r="BN3138">
        <v>81.599999999999994</v>
      </c>
      <c r="BO3138">
        <v>81.599999999999994</v>
      </c>
      <c r="BQ3138" t="s">
        <v>892</v>
      </c>
      <c r="BR3138" t="s">
        <v>97</v>
      </c>
      <c r="BS3138" s="3">
        <v>45958</v>
      </c>
      <c r="BT3138" s="4">
        <v>0.4465277777777778</v>
      </c>
      <c r="BU3138" t="s">
        <v>3424</v>
      </c>
      <c r="BV3138" t="s">
        <v>90</v>
      </c>
      <c r="BW3138" t="s">
        <v>188</v>
      </c>
      <c r="BX3138" t="s">
        <v>2043</v>
      </c>
      <c r="BY3138">
        <v>5510</v>
      </c>
      <c r="CC3138" t="s">
        <v>207</v>
      </c>
      <c r="CD3138">
        <v>7925</v>
      </c>
      <c r="CE3138" t="s">
        <v>191</v>
      </c>
      <c r="CF3138" s="3">
        <v>45959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"080068755959"</f>
        <v>080068755959</v>
      </c>
      <c r="F3139" s="3">
        <v>45957</v>
      </c>
      <c r="G3139">
        <v>202607</v>
      </c>
      <c r="H3139" t="s">
        <v>79</v>
      </c>
      <c r="I3139" t="s">
        <v>80</v>
      </c>
      <c r="J3139" t="s">
        <v>91</v>
      </c>
      <c r="K3139" t="s">
        <v>78</v>
      </c>
      <c r="L3139" t="s">
        <v>401</v>
      </c>
      <c r="M3139" t="s">
        <v>402</v>
      </c>
      <c r="N3139" t="s">
        <v>3444</v>
      </c>
      <c r="O3139" t="s">
        <v>82</v>
      </c>
      <c r="P3139" t="str">
        <f>"4170066149                    "</f>
        <v xml:space="preserve">4170066149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43.31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0.2</v>
      </c>
      <c r="BJ3139">
        <v>1.8</v>
      </c>
      <c r="BK3139">
        <v>2</v>
      </c>
      <c r="BL3139">
        <v>137.47</v>
      </c>
      <c r="BM3139">
        <v>20.62</v>
      </c>
      <c r="BN3139">
        <v>158.09</v>
      </c>
      <c r="BO3139">
        <v>158.09</v>
      </c>
      <c r="BQ3139" t="s">
        <v>3445</v>
      </c>
      <c r="BR3139" t="s">
        <v>97</v>
      </c>
      <c r="BS3139" s="3">
        <v>45959</v>
      </c>
      <c r="BT3139" s="4">
        <v>0.61805555555555558</v>
      </c>
      <c r="BU3139" t="s">
        <v>405</v>
      </c>
      <c r="BV3139" t="s">
        <v>90</v>
      </c>
      <c r="BY3139">
        <v>8965.5300000000007</v>
      </c>
      <c r="CC3139" t="s">
        <v>402</v>
      </c>
      <c r="CD3139">
        <v>3310</v>
      </c>
      <c r="CE3139" t="s">
        <v>191</v>
      </c>
      <c r="CF3139" s="3">
        <v>45960</v>
      </c>
      <c r="CI3139">
        <v>1</v>
      </c>
      <c r="CJ3139">
        <v>2</v>
      </c>
      <c r="CK3139">
        <v>23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"080068755987"</f>
        <v>080068755987</v>
      </c>
      <c r="F3140" s="3">
        <v>45957</v>
      </c>
      <c r="G3140">
        <v>202607</v>
      </c>
      <c r="H3140" t="s">
        <v>79</v>
      </c>
      <c r="I3140" t="s">
        <v>80</v>
      </c>
      <c r="J3140" t="s">
        <v>91</v>
      </c>
      <c r="K3140" t="s">
        <v>78</v>
      </c>
      <c r="L3140" t="s">
        <v>121</v>
      </c>
      <c r="M3140" t="s">
        <v>122</v>
      </c>
      <c r="N3140" t="s">
        <v>159</v>
      </c>
      <c r="O3140" t="s">
        <v>82</v>
      </c>
      <c r="P3140" t="str">
        <f>"4170066214                    "</f>
        <v xml:space="preserve">4170066214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22.36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0.2</v>
      </c>
      <c r="BJ3140">
        <v>1.9</v>
      </c>
      <c r="BK3140">
        <v>2</v>
      </c>
      <c r="BL3140">
        <v>70.959999999999994</v>
      </c>
      <c r="BM3140">
        <v>10.64</v>
      </c>
      <c r="BN3140">
        <v>81.599999999999994</v>
      </c>
      <c r="BO3140">
        <v>81.599999999999994</v>
      </c>
      <c r="BQ3140" t="s">
        <v>160</v>
      </c>
      <c r="BR3140" t="s">
        <v>97</v>
      </c>
      <c r="BS3140" s="3">
        <v>45958</v>
      </c>
      <c r="BT3140" s="4">
        <v>0.45555555555555555</v>
      </c>
      <c r="BU3140" t="s">
        <v>1436</v>
      </c>
      <c r="BV3140" t="s">
        <v>90</v>
      </c>
      <c r="BW3140" t="s">
        <v>136</v>
      </c>
      <c r="BX3140" t="s">
        <v>1222</v>
      </c>
      <c r="BY3140">
        <v>9519.2000000000007</v>
      </c>
      <c r="CA3140" t="s">
        <v>742</v>
      </c>
      <c r="CC3140" t="s">
        <v>122</v>
      </c>
      <c r="CD3140">
        <v>4000</v>
      </c>
      <c r="CE3140" t="s">
        <v>147</v>
      </c>
      <c r="CF3140" s="3">
        <v>45959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"080068756006"</f>
        <v>080068756006</v>
      </c>
      <c r="F3141" s="3">
        <v>45957</v>
      </c>
      <c r="G3141">
        <v>202607</v>
      </c>
      <c r="H3141" t="s">
        <v>79</v>
      </c>
      <c r="I3141" t="s">
        <v>80</v>
      </c>
      <c r="J3141" t="s">
        <v>91</v>
      </c>
      <c r="K3141" t="s">
        <v>78</v>
      </c>
      <c r="L3141" t="s">
        <v>401</v>
      </c>
      <c r="M3141" t="s">
        <v>402</v>
      </c>
      <c r="N3141" t="s">
        <v>3444</v>
      </c>
      <c r="O3141" t="s">
        <v>82</v>
      </c>
      <c r="P3141" t="str">
        <f>"4170066141                    "</f>
        <v xml:space="preserve">4170066141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43.31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0.2</v>
      </c>
      <c r="BJ3141">
        <v>1.8</v>
      </c>
      <c r="BK3141">
        <v>2</v>
      </c>
      <c r="BL3141">
        <v>137.47</v>
      </c>
      <c r="BM3141">
        <v>20.62</v>
      </c>
      <c r="BN3141">
        <v>158.09</v>
      </c>
      <c r="BO3141">
        <v>158.09</v>
      </c>
      <c r="BQ3141" t="s">
        <v>3445</v>
      </c>
      <c r="BR3141" t="s">
        <v>97</v>
      </c>
      <c r="BS3141" s="3">
        <v>45959</v>
      </c>
      <c r="BT3141" s="4">
        <v>0.63749999999999996</v>
      </c>
      <c r="BU3141" t="s">
        <v>405</v>
      </c>
      <c r="BV3141" t="s">
        <v>90</v>
      </c>
      <c r="BY3141">
        <v>9223.74</v>
      </c>
      <c r="CC3141" t="s">
        <v>402</v>
      </c>
      <c r="CD3141">
        <v>3310</v>
      </c>
      <c r="CE3141" t="s">
        <v>147</v>
      </c>
      <c r="CF3141" s="3">
        <v>45960</v>
      </c>
      <c r="CI3141">
        <v>1</v>
      </c>
      <c r="CJ3141">
        <v>2</v>
      </c>
      <c r="CK3141">
        <v>23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"080068756738"</f>
        <v>080068756738</v>
      </c>
      <c r="F3142" s="3">
        <v>45957</v>
      </c>
      <c r="G3142">
        <v>202607</v>
      </c>
      <c r="H3142" t="s">
        <v>79</v>
      </c>
      <c r="I3142" t="s">
        <v>80</v>
      </c>
      <c r="J3142" t="s">
        <v>91</v>
      </c>
      <c r="K3142" t="s">
        <v>78</v>
      </c>
      <c r="L3142" t="s">
        <v>148</v>
      </c>
      <c r="M3142" t="s">
        <v>149</v>
      </c>
      <c r="N3142" t="s">
        <v>465</v>
      </c>
      <c r="O3142" t="s">
        <v>82</v>
      </c>
      <c r="P3142" t="str">
        <f>"4170066210                    "</f>
        <v xml:space="preserve">4170066210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17.46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0.2</v>
      </c>
      <c r="BJ3142">
        <v>1.7</v>
      </c>
      <c r="BK3142">
        <v>2</v>
      </c>
      <c r="BL3142">
        <v>55.42</v>
      </c>
      <c r="BM3142">
        <v>8.31</v>
      </c>
      <c r="BN3142">
        <v>63.73</v>
      </c>
      <c r="BO3142">
        <v>63.73</v>
      </c>
      <c r="BQ3142" t="s">
        <v>466</v>
      </c>
      <c r="BR3142" t="s">
        <v>97</v>
      </c>
      <c r="BS3142" s="3">
        <v>45958</v>
      </c>
      <c r="BT3142" s="4">
        <v>0.36388888888888887</v>
      </c>
      <c r="BU3142" t="s">
        <v>1658</v>
      </c>
      <c r="BV3142" t="s">
        <v>86</v>
      </c>
      <c r="BY3142">
        <v>8456.0400000000009</v>
      </c>
      <c r="CA3142" t="s">
        <v>519</v>
      </c>
      <c r="CC3142" t="s">
        <v>149</v>
      </c>
      <c r="CD3142">
        <v>2094</v>
      </c>
      <c r="CE3142" t="s">
        <v>191</v>
      </c>
      <c r="CF3142" s="3">
        <v>45958</v>
      </c>
      <c r="CI3142">
        <v>1</v>
      </c>
      <c r="CJ3142">
        <v>1</v>
      </c>
      <c r="CK3142">
        <v>22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"080068756747"</f>
        <v>080068756747</v>
      </c>
      <c r="F3143" s="3">
        <v>45957</v>
      </c>
      <c r="G3143">
        <v>202607</v>
      </c>
      <c r="H3143" t="s">
        <v>79</v>
      </c>
      <c r="I3143" t="s">
        <v>80</v>
      </c>
      <c r="J3143" t="s">
        <v>91</v>
      </c>
      <c r="K3143" t="s">
        <v>78</v>
      </c>
      <c r="L3143" t="s">
        <v>121</v>
      </c>
      <c r="M3143" t="s">
        <v>122</v>
      </c>
      <c r="N3143" t="s">
        <v>159</v>
      </c>
      <c r="O3143" t="s">
        <v>82</v>
      </c>
      <c r="P3143" t="str">
        <f>"4170066176                    "</f>
        <v xml:space="preserve">4170066176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22.36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0.2</v>
      </c>
      <c r="BJ3143">
        <v>0.2</v>
      </c>
      <c r="BK3143">
        <v>0.5</v>
      </c>
      <c r="BL3143">
        <v>70.959999999999994</v>
      </c>
      <c r="BM3143">
        <v>10.64</v>
      </c>
      <c r="BN3143">
        <v>81.599999999999994</v>
      </c>
      <c r="BO3143">
        <v>81.599999999999994</v>
      </c>
      <c r="BQ3143" t="s">
        <v>160</v>
      </c>
      <c r="BR3143" t="s">
        <v>97</v>
      </c>
      <c r="BS3143" s="3">
        <v>45958</v>
      </c>
      <c r="BT3143" s="4">
        <v>0.45555555555555555</v>
      </c>
      <c r="BU3143" t="s">
        <v>1436</v>
      </c>
      <c r="BV3143" t="s">
        <v>90</v>
      </c>
      <c r="BW3143" t="s">
        <v>771</v>
      </c>
      <c r="BX3143" t="s">
        <v>1222</v>
      </c>
      <c r="BY3143">
        <v>873.76</v>
      </c>
      <c r="CA3143" t="s">
        <v>742</v>
      </c>
      <c r="CC3143" t="s">
        <v>122</v>
      </c>
      <c r="CD3143">
        <v>4000</v>
      </c>
      <c r="CE3143" t="s">
        <v>147</v>
      </c>
      <c r="CF3143" s="3">
        <v>45959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"080068756759"</f>
        <v>080068756759</v>
      </c>
      <c r="F3144" s="3">
        <v>45957</v>
      </c>
      <c r="G3144">
        <v>202607</v>
      </c>
      <c r="H3144" t="s">
        <v>79</v>
      </c>
      <c r="I3144" t="s">
        <v>80</v>
      </c>
      <c r="J3144" t="s">
        <v>91</v>
      </c>
      <c r="K3144" t="s">
        <v>78</v>
      </c>
      <c r="L3144" t="s">
        <v>206</v>
      </c>
      <c r="M3144" t="s">
        <v>207</v>
      </c>
      <c r="N3144" t="s">
        <v>734</v>
      </c>
      <c r="O3144" t="s">
        <v>82</v>
      </c>
      <c r="P3144" t="str">
        <f>"4170066266                    "</f>
        <v xml:space="preserve">4170066266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167.55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15</v>
      </c>
      <c r="BJ3144">
        <v>5.7</v>
      </c>
      <c r="BK3144">
        <v>15</v>
      </c>
      <c r="BL3144">
        <v>531.79</v>
      </c>
      <c r="BM3144">
        <v>79.77</v>
      </c>
      <c r="BN3144">
        <v>611.55999999999995</v>
      </c>
      <c r="BO3144">
        <v>611.55999999999995</v>
      </c>
      <c r="BQ3144" t="s">
        <v>735</v>
      </c>
      <c r="BR3144" t="s">
        <v>97</v>
      </c>
      <c r="BS3144" s="3">
        <v>45958</v>
      </c>
      <c r="BT3144" s="4">
        <v>0.45902777777777776</v>
      </c>
      <c r="BU3144" t="s">
        <v>736</v>
      </c>
      <c r="BV3144" t="s">
        <v>90</v>
      </c>
      <c r="BW3144" t="s">
        <v>347</v>
      </c>
      <c r="BX3144" t="s">
        <v>2740</v>
      </c>
      <c r="BY3144">
        <v>28275</v>
      </c>
      <c r="CA3144" t="s">
        <v>480</v>
      </c>
      <c r="CC3144" t="s">
        <v>207</v>
      </c>
      <c r="CD3144">
        <v>7480</v>
      </c>
      <c r="CE3144" t="s">
        <v>191</v>
      </c>
      <c r="CF3144" s="3">
        <v>45959</v>
      </c>
      <c r="CI3144">
        <v>1</v>
      </c>
      <c r="CJ3144">
        <v>1</v>
      </c>
      <c r="CK3144">
        <v>21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"080068756767"</f>
        <v>080068756767</v>
      </c>
      <c r="F3145" s="3">
        <v>45957</v>
      </c>
      <c r="G3145">
        <v>202607</v>
      </c>
      <c r="H3145" t="s">
        <v>79</v>
      </c>
      <c r="I3145" t="s">
        <v>80</v>
      </c>
      <c r="J3145" t="s">
        <v>91</v>
      </c>
      <c r="K3145" t="s">
        <v>78</v>
      </c>
      <c r="L3145" t="s">
        <v>108</v>
      </c>
      <c r="M3145" t="s">
        <v>109</v>
      </c>
      <c r="N3145" t="s">
        <v>1203</v>
      </c>
      <c r="O3145" t="s">
        <v>82</v>
      </c>
      <c r="P3145" t="str">
        <f>"4170066269                    "</f>
        <v xml:space="preserve">4170066269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22.36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70.959999999999994</v>
      </c>
      <c r="BM3145">
        <v>10.64</v>
      </c>
      <c r="BN3145">
        <v>81.599999999999994</v>
      </c>
      <c r="BO3145">
        <v>81.599999999999994</v>
      </c>
      <c r="BQ3145" t="s">
        <v>1204</v>
      </c>
      <c r="BR3145" t="s">
        <v>97</v>
      </c>
      <c r="BS3145" s="3">
        <v>45958</v>
      </c>
      <c r="BT3145" s="4">
        <v>0.34236111111111112</v>
      </c>
      <c r="BU3145" t="s">
        <v>2918</v>
      </c>
      <c r="BV3145" t="s">
        <v>86</v>
      </c>
      <c r="BY3145">
        <v>1200</v>
      </c>
      <c r="CA3145" t="s">
        <v>1090</v>
      </c>
      <c r="CC3145" t="s">
        <v>109</v>
      </c>
      <c r="CD3145">
        <v>6012</v>
      </c>
      <c r="CE3145" t="s">
        <v>147</v>
      </c>
      <c r="CF3145" s="3">
        <v>45958</v>
      </c>
      <c r="CI3145">
        <v>1</v>
      </c>
      <c r="CJ3145">
        <v>1</v>
      </c>
      <c r="CK3145">
        <v>21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"080068756798"</f>
        <v>080068756798</v>
      </c>
      <c r="F3146" s="3">
        <v>45957</v>
      </c>
      <c r="G3146">
        <v>202607</v>
      </c>
      <c r="H3146" t="s">
        <v>79</v>
      </c>
      <c r="I3146" t="s">
        <v>80</v>
      </c>
      <c r="J3146" t="s">
        <v>91</v>
      </c>
      <c r="K3146" t="s">
        <v>78</v>
      </c>
      <c r="L3146" t="s">
        <v>453</v>
      </c>
      <c r="M3146" t="s">
        <v>454</v>
      </c>
      <c r="N3146" t="s">
        <v>639</v>
      </c>
      <c r="O3146" t="s">
        <v>82</v>
      </c>
      <c r="P3146" t="str">
        <f>"4170066194                    "</f>
        <v xml:space="preserve">4170066194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22.36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0.2</v>
      </c>
      <c r="BJ3146">
        <v>1.7</v>
      </c>
      <c r="BK3146">
        <v>2</v>
      </c>
      <c r="BL3146">
        <v>70.959999999999994</v>
      </c>
      <c r="BM3146">
        <v>10.64</v>
      </c>
      <c r="BN3146">
        <v>81.599999999999994</v>
      </c>
      <c r="BO3146">
        <v>81.599999999999994</v>
      </c>
      <c r="BQ3146" t="s">
        <v>640</v>
      </c>
      <c r="BR3146" t="s">
        <v>97</v>
      </c>
      <c r="BS3146" s="3">
        <v>45958</v>
      </c>
      <c r="BT3146" s="4">
        <v>0.43541666666666667</v>
      </c>
      <c r="BU3146" t="s">
        <v>641</v>
      </c>
      <c r="BV3146" t="s">
        <v>86</v>
      </c>
      <c r="BY3146">
        <v>8302.5300000000007</v>
      </c>
      <c r="CA3146" t="s">
        <v>457</v>
      </c>
      <c r="CC3146" t="s">
        <v>454</v>
      </c>
      <c r="CD3146">
        <v>3610</v>
      </c>
      <c r="CE3146" t="s">
        <v>147</v>
      </c>
      <c r="CF3146" s="3">
        <v>45959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"080068756800"</f>
        <v>080068756800</v>
      </c>
      <c r="F3147" s="3">
        <v>45957</v>
      </c>
      <c r="G3147">
        <v>202607</v>
      </c>
      <c r="H3147" t="s">
        <v>79</v>
      </c>
      <c r="I3147" t="s">
        <v>80</v>
      </c>
      <c r="J3147" t="s">
        <v>91</v>
      </c>
      <c r="K3147" t="s">
        <v>78</v>
      </c>
      <c r="L3147" t="s">
        <v>121</v>
      </c>
      <c r="M3147" t="s">
        <v>122</v>
      </c>
      <c r="N3147" t="s">
        <v>123</v>
      </c>
      <c r="O3147" t="s">
        <v>82</v>
      </c>
      <c r="P3147" t="str">
        <f>"4170066267                    "</f>
        <v xml:space="preserve">4170066267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22.36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0.2</v>
      </c>
      <c r="BJ3147">
        <v>0.9</v>
      </c>
      <c r="BK3147">
        <v>1</v>
      </c>
      <c r="BL3147">
        <v>70.959999999999994</v>
      </c>
      <c r="BM3147">
        <v>10.64</v>
      </c>
      <c r="BN3147">
        <v>81.599999999999994</v>
      </c>
      <c r="BO3147">
        <v>81.599999999999994</v>
      </c>
      <c r="BQ3147" t="s">
        <v>124</v>
      </c>
      <c r="BR3147" t="s">
        <v>97</v>
      </c>
      <c r="BS3147" s="3">
        <v>45958</v>
      </c>
      <c r="BT3147" s="4">
        <v>0.35625000000000001</v>
      </c>
      <c r="BU3147" t="s">
        <v>1611</v>
      </c>
      <c r="BV3147" t="s">
        <v>86</v>
      </c>
      <c r="BY3147">
        <v>4292</v>
      </c>
      <c r="CA3147" t="s">
        <v>126</v>
      </c>
      <c r="CC3147" t="s">
        <v>122</v>
      </c>
      <c r="CD3147">
        <v>4051</v>
      </c>
      <c r="CE3147" t="s">
        <v>191</v>
      </c>
      <c r="CF3147" s="3">
        <v>45959</v>
      </c>
      <c r="CI3147">
        <v>1</v>
      </c>
      <c r="CJ3147">
        <v>1</v>
      </c>
      <c r="CK3147">
        <v>21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"080068756831"</f>
        <v>080068756831</v>
      </c>
      <c r="F3148" s="3">
        <v>45957</v>
      </c>
      <c r="G3148">
        <v>202607</v>
      </c>
      <c r="H3148" t="s">
        <v>79</v>
      </c>
      <c r="I3148" t="s">
        <v>80</v>
      </c>
      <c r="J3148" t="s">
        <v>91</v>
      </c>
      <c r="K3148" t="s">
        <v>78</v>
      </c>
      <c r="L3148" t="s">
        <v>168</v>
      </c>
      <c r="M3148" t="s">
        <v>169</v>
      </c>
      <c r="N3148" t="s">
        <v>1541</v>
      </c>
      <c r="O3148" t="s">
        <v>82</v>
      </c>
      <c r="P3148" t="str">
        <f>"4170066271                    "</f>
        <v xml:space="preserve">4170066271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22.36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70.959999999999994</v>
      </c>
      <c r="BM3148">
        <v>10.64</v>
      </c>
      <c r="BN3148">
        <v>81.599999999999994</v>
      </c>
      <c r="BO3148">
        <v>81.599999999999994</v>
      </c>
      <c r="BQ3148" t="s">
        <v>1542</v>
      </c>
      <c r="BR3148" t="s">
        <v>97</v>
      </c>
      <c r="BS3148" s="3">
        <v>45958</v>
      </c>
      <c r="BT3148" s="4">
        <v>0.40902777777777777</v>
      </c>
      <c r="BU3148" t="s">
        <v>2209</v>
      </c>
      <c r="BV3148" t="s">
        <v>86</v>
      </c>
      <c r="BY3148">
        <v>1200</v>
      </c>
      <c r="CA3148">
        <v>7709040539081</v>
      </c>
      <c r="CC3148" t="s">
        <v>169</v>
      </c>
      <c r="CD3148" s="5" t="s">
        <v>173</v>
      </c>
      <c r="CE3148" t="s">
        <v>147</v>
      </c>
      <c r="CF3148" s="3">
        <v>45958</v>
      </c>
      <c r="CI3148">
        <v>1</v>
      </c>
      <c r="CJ3148">
        <v>1</v>
      </c>
      <c r="CK3148">
        <v>21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"080068756841"</f>
        <v>080068756841</v>
      </c>
      <c r="F3149" s="3">
        <v>45957</v>
      </c>
      <c r="G3149">
        <v>202607</v>
      </c>
      <c r="H3149" t="s">
        <v>79</v>
      </c>
      <c r="I3149" t="s">
        <v>80</v>
      </c>
      <c r="J3149" t="s">
        <v>91</v>
      </c>
      <c r="K3149" t="s">
        <v>78</v>
      </c>
      <c r="L3149" t="s">
        <v>446</v>
      </c>
      <c r="M3149" t="s">
        <v>447</v>
      </c>
      <c r="N3149" t="s">
        <v>448</v>
      </c>
      <c r="O3149" t="s">
        <v>82</v>
      </c>
      <c r="P3149" t="str">
        <f>"4170066158                    "</f>
        <v xml:space="preserve">4170066158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101.99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5</v>
      </c>
      <c r="BJ3149">
        <v>1.9</v>
      </c>
      <c r="BK3149">
        <v>5</v>
      </c>
      <c r="BL3149">
        <v>323.70999999999998</v>
      </c>
      <c r="BM3149">
        <v>48.56</v>
      </c>
      <c r="BN3149">
        <v>372.27</v>
      </c>
      <c r="BO3149">
        <v>372.27</v>
      </c>
      <c r="BQ3149" t="s">
        <v>449</v>
      </c>
      <c r="BR3149" t="s">
        <v>97</v>
      </c>
      <c r="BS3149" s="3">
        <v>45958</v>
      </c>
      <c r="BT3149" s="4">
        <v>0.47847222222222224</v>
      </c>
      <c r="BU3149" t="s">
        <v>782</v>
      </c>
      <c r="BV3149" t="s">
        <v>86</v>
      </c>
      <c r="BY3149">
        <v>9600</v>
      </c>
      <c r="CA3149" t="s">
        <v>2085</v>
      </c>
      <c r="CC3149" t="s">
        <v>447</v>
      </c>
      <c r="CD3149">
        <v>7130</v>
      </c>
      <c r="CE3149" t="s">
        <v>191</v>
      </c>
      <c r="CF3149" s="3">
        <v>45959</v>
      </c>
      <c r="CI3149">
        <v>1</v>
      </c>
      <c r="CJ3149">
        <v>1</v>
      </c>
      <c r="CK3149">
        <v>23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"080068757156"</f>
        <v>080068757156</v>
      </c>
      <c r="F3150" s="3">
        <v>45957</v>
      </c>
      <c r="G3150">
        <v>202607</v>
      </c>
      <c r="H3150" t="s">
        <v>79</v>
      </c>
      <c r="I3150" t="s">
        <v>80</v>
      </c>
      <c r="J3150" t="s">
        <v>91</v>
      </c>
      <c r="K3150" t="s">
        <v>78</v>
      </c>
      <c r="L3150" t="s">
        <v>322</v>
      </c>
      <c r="M3150" t="s">
        <v>322</v>
      </c>
      <c r="N3150" t="s">
        <v>2011</v>
      </c>
      <c r="O3150" t="s">
        <v>82</v>
      </c>
      <c r="P3150" t="str">
        <f>"4170066256                    "</f>
        <v xml:space="preserve">4170066256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43.31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137.47</v>
      </c>
      <c r="BM3150">
        <v>20.62</v>
      </c>
      <c r="BN3150">
        <v>158.09</v>
      </c>
      <c r="BO3150">
        <v>158.09</v>
      </c>
      <c r="BQ3150" t="s">
        <v>2012</v>
      </c>
      <c r="BR3150" t="s">
        <v>97</v>
      </c>
      <c r="BS3150" s="3">
        <v>45958</v>
      </c>
      <c r="BT3150" s="4">
        <v>0.44513888888888886</v>
      </c>
      <c r="BU3150" t="s">
        <v>3438</v>
      </c>
      <c r="BV3150" t="s">
        <v>86</v>
      </c>
      <c r="BY3150">
        <v>1200</v>
      </c>
      <c r="CA3150" t="s">
        <v>1669</v>
      </c>
      <c r="CC3150" t="s">
        <v>322</v>
      </c>
      <c r="CD3150">
        <v>7646</v>
      </c>
      <c r="CE3150" t="s">
        <v>147</v>
      </c>
      <c r="CF3150" s="3">
        <v>45959</v>
      </c>
      <c r="CI3150">
        <v>1</v>
      </c>
      <c r="CJ3150">
        <v>1</v>
      </c>
      <c r="CK3150">
        <v>23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"080068757166"</f>
        <v>080068757166</v>
      </c>
      <c r="F3151" s="3">
        <v>45957</v>
      </c>
      <c r="G3151">
        <v>202607</v>
      </c>
      <c r="H3151" t="s">
        <v>79</v>
      </c>
      <c r="I3151" t="s">
        <v>80</v>
      </c>
      <c r="J3151" t="s">
        <v>91</v>
      </c>
      <c r="K3151" t="s">
        <v>78</v>
      </c>
      <c r="L3151" t="s">
        <v>121</v>
      </c>
      <c r="M3151" t="s">
        <v>122</v>
      </c>
      <c r="N3151" t="s">
        <v>154</v>
      </c>
      <c r="O3151" t="s">
        <v>82</v>
      </c>
      <c r="P3151" t="str">
        <f>"4170066249                    "</f>
        <v xml:space="preserve">4170066249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22.36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0.2</v>
      </c>
      <c r="BJ3151">
        <v>1</v>
      </c>
      <c r="BK3151">
        <v>1</v>
      </c>
      <c r="BL3151">
        <v>70.959999999999994</v>
      </c>
      <c r="BM3151">
        <v>10.64</v>
      </c>
      <c r="BN3151">
        <v>81.599999999999994</v>
      </c>
      <c r="BO3151">
        <v>81.599999999999994</v>
      </c>
      <c r="BQ3151" t="s">
        <v>155</v>
      </c>
      <c r="BR3151" t="s">
        <v>97</v>
      </c>
      <c r="BS3151" s="3">
        <v>45958</v>
      </c>
      <c r="BT3151" s="4">
        <v>0.40902777777777777</v>
      </c>
      <c r="BU3151" t="s">
        <v>3446</v>
      </c>
      <c r="BV3151" t="s">
        <v>86</v>
      </c>
      <c r="BY3151">
        <v>4996.8900000000003</v>
      </c>
      <c r="CA3151" t="s">
        <v>157</v>
      </c>
      <c r="CC3151" t="s">
        <v>122</v>
      </c>
      <c r="CD3151">
        <v>4052</v>
      </c>
      <c r="CE3151" t="s">
        <v>191</v>
      </c>
      <c r="CF3151" s="3">
        <v>45959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"080068757191"</f>
        <v>080068757191</v>
      </c>
      <c r="F3152" s="3">
        <v>45957</v>
      </c>
      <c r="G3152">
        <v>202607</v>
      </c>
      <c r="H3152" t="s">
        <v>79</v>
      </c>
      <c r="I3152" t="s">
        <v>80</v>
      </c>
      <c r="J3152" t="s">
        <v>91</v>
      </c>
      <c r="K3152" t="s">
        <v>78</v>
      </c>
      <c r="L3152" t="s">
        <v>206</v>
      </c>
      <c r="M3152" t="s">
        <v>207</v>
      </c>
      <c r="N3152" t="s">
        <v>436</v>
      </c>
      <c r="O3152" t="s">
        <v>82</v>
      </c>
      <c r="P3152" t="str">
        <f>"4170066263                    "</f>
        <v xml:space="preserve">4170066263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22.36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70.959999999999994</v>
      </c>
      <c r="BM3152">
        <v>10.64</v>
      </c>
      <c r="BN3152">
        <v>81.599999999999994</v>
      </c>
      <c r="BO3152">
        <v>81.599999999999994</v>
      </c>
      <c r="BQ3152" t="s">
        <v>437</v>
      </c>
      <c r="BR3152" t="s">
        <v>97</v>
      </c>
      <c r="BS3152" s="3">
        <v>45958</v>
      </c>
      <c r="BT3152" s="4">
        <v>0.6166666666666667</v>
      </c>
      <c r="BU3152" t="s">
        <v>3174</v>
      </c>
      <c r="BV3152" t="s">
        <v>90</v>
      </c>
      <c r="BW3152" t="s">
        <v>347</v>
      </c>
      <c r="BX3152" t="s">
        <v>451</v>
      </c>
      <c r="BY3152">
        <v>1200</v>
      </c>
      <c r="CC3152" t="s">
        <v>207</v>
      </c>
      <c r="CD3152">
        <v>7800</v>
      </c>
      <c r="CE3152" t="s">
        <v>147</v>
      </c>
      <c r="CF3152" s="3">
        <v>45959</v>
      </c>
      <c r="CI3152">
        <v>1</v>
      </c>
      <c r="CJ3152">
        <v>1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"080068757223"</f>
        <v>080068757223</v>
      </c>
      <c r="F3153" s="3">
        <v>45957</v>
      </c>
      <c r="G3153">
        <v>202607</v>
      </c>
      <c r="H3153" t="s">
        <v>79</v>
      </c>
      <c r="I3153" t="s">
        <v>80</v>
      </c>
      <c r="J3153" t="s">
        <v>91</v>
      </c>
      <c r="K3153" t="s">
        <v>78</v>
      </c>
      <c r="L3153" t="s">
        <v>322</v>
      </c>
      <c r="M3153" t="s">
        <v>322</v>
      </c>
      <c r="N3153" t="s">
        <v>481</v>
      </c>
      <c r="O3153" t="s">
        <v>95</v>
      </c>
      <c r="P3153" t="str">
        <f>"4170066196                    "</f>
        <v xml:space="preserve">4170066196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120.14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8.9</v>
      </c>
      <c r="BJ3153">
        <v>33.200000000000003</v>
      </c>
      <c r="BK3153">
        <v>34</v>
      </c>
      <c r="BL3153">
        <v>387.19</v>
      </c>
      <c r="BM3153">
        <v>58.08</v>
      </c>
      <c r="BN3153">
        <v>445.27</v>
      </c>
      <c r="BO3153">
        <v>445.27</v>
      </c>
      <c r="BQ3153" t="s">
        <v>482</v>
      </c>
      <c r="BR3153" t="s">
        <v>97</v>
      </c>
      <c r="BS3153" t="s">
        <v>2659</v>
      </c>
      <c r="BY3153">
        <v>165909.12</v>
      </c>
      <c r="CC3153" t="s">
        <v>322</v>
      </c>
      <c r="CD3153">
        <v>7646</v>
      </c>
      <c r="CE3153" t="s">
        <v>191</v>
      </c>
      <c r="CI3153">
        <v>3</v>
      </c>
      <c r="CJ3153" t="s">
        <v>2659</v>
      </c>
      <c r="CK3153">
        <v>43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"080068757230"</f>
        <v>080068757230</v>
      </c>
      <c r="F3154" s="3">
        <v>45957</v>
      </c>
      <c r="G3154">
        <v>202607</v>
      </c>
      <c r="H3154" t="s">
        <v>79</v>
      </c>
      <c r="I3154" t="s">
        <v>80</v>
      </c>
      <c r="J3154" t="s">
        <v>91</v>
      </c>
      <c r="K3154" t="s">
        <v>78</v>
      </c>
      <c r="L3154" t="s">
        <v>168</v>
      </c>
      <c r="M3154" t="s">
        <v>169</v>
      </c>
      <c r="N3154" t="s">
        <v>737</v>
      </c>
      <c r="O3154" t="s">
        <v>82</v>
      </c>
      <c r="P3154" t="str">
        <f>"4170066264                    "</f>
        <v xml:space="preserve">4170066264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22.36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0.2</v>
      </c>
      <c r="BJ3154">
        <v>0.8</v>
      </c>
      <c r="BK3154">
        <v>1</v>
      </c>
      <c r="BL3154">
        <v>70.959999999999994</v>
      </c>
      <c r="BM3154">
        <v>10.64</v>
      </c>
      <c r="BN3154">
        <v>81.599999999999994</v>
      </c>
      <c r="BO3154">
        <v>81.599999999999994</v>
      </c>
      <c r="BQ3154" t="s">
        <v>738</v>
      </c>
      <c r="BR3154" t="s">
        <v>97</v>
      </c>
      <c r="BS3154" s="3">
        <v>45958</v>
      </c>
      <c r="BT3154" s="4">
        <v>0.39583333333333331</v>
      </c>
      <c r="BU3154" t="s">
        <v>1153</v>
      </c>
      <c r="BV3154" t="s">
        <v>86</v>
      </c>
      <c r="BY3154">
        <v>4173.3999999999996</v>
      </c>
      <c r="CA3154">
        <v>9103185460089</v>
      </c>
      <c r="CC3154" t="s">
        <v>169</v>
      </c>
      <c r="CD3154" s="5" t="s">
        <v>173</v>
      </c>
      <c r="CE3154" t="s">
        <v>147</v>
      </c>
      <c r="CF3154" s="3">
        <v>45958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"080068757272"</f>
        <v>080068757272</v>
      </c>
      <c r="F3155" s="3">
        <v>45957</v>
      </c>
      <c r="G3155">
        <v>202607</v>
      </c>
      <c r="H3155" t="s">
        <v>79</v>
      </c>
      <c r="I3155" t="s">
        <v>80</v>
      </c>
      <c r="J3155" t="s">
        <v>91</v>
      </c>
      <c r="K3155" t="s">
        <v>78</v>
      </c>
      <c r="L3155" t="s">
        <v>1638</v>
      </c>
      <c r="M3155" t="s">
        <v>1639</v>
      </c>
      <c r="N3155" t="s">
        <v>3051</v>
      </c>
      <c r="O3155" t="s">
        <v>82</v>
      </c>
      <c r="P3155" t="str">
        <f>"4170066193                    "</f>
        <v xml:space="preserve">4170066193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43.31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137.47</v>
      </c>
      <c r="BM3155">
        <v>20.62</v>
      </c>
      <c r="BN3155">
        <v>158.09</v>
      </c>
      <c r="BO3155">
        <v>158.09</v>
      </c>
      <c r="BQ3155" t="s">
        <v>3052</v>
      </c>
      <c r="BR3155" t="s">
        <v>97</v>
      </c>
      <c r="BS3155" s="3">
        <v>45958</v>
      </c>
      <c r="BT3155" s="4">
        <v>0.6875</v>
      </c>
      <c r="BU3155" t="s">
        <v>3447</v>
      </c>
      <c r="BV3155" t="s">
        <v>86</v>
      </c>
      <c r="BY3155">
        <v>1200</v>
      </c>
      <c r="CA3155" t="s">
        <v>3054</v>
      </c>
      <c r="CC3155" t="s">
        <v>1639</v>
      </c>
      <c r="CD3155">
        <v>1389</v>
      </c>
      <c r="CE3155" t="s">
        <v>147</v>
      </c>
      <c r="CF3155" s="3">
        <v>45959</v>
      </c>
      <c r="CI3155">
        <v>1</v>
      </c>
      <c r="CJ3155">
        <v>1</v>
      </c>
      <c r="CK3155">
        <v>23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"080068757294"</f>
        <v>080068757294</v>
      </c>
      <c r="F3156" s="3">
        <v>45957</v>
      </c>
      <c r="G3156">
        <v>202607</v>
      </c>
      <c r="H3156" t="s">
        <v>79</v>
      </c>
      <c r="I3156" t="s">
        <v>80</v>
      </c>
      <c r="J3156" t="s">
        <v>91</v>
      </c>
      <c r="K3156" t="s">
        <v>78</v>
      </c>
      <c r="L3156" t="s">
        <v>75</v>
      </c>
      <c r="M3156" t="s">
        <v>76</v>
      </c>
      <c r="N3156" t="s">
        <v>3448</v>
      </c>
      <c r="O3156" t="s">
        <v>95</v>
      </c>
      <c r="P3156" t="str">
        <f>"4170066244                    "</f>
        <v xml:space="preserve">4170066244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37.26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7.1</v>
      </c>
      <c r="BJ3156">
        <v>18.7</v>
      </c>
      <c r="BK3156">
        <v>19</v>
      </c>
      <c r="BL3156">
        <v>124.13</v>
      </c>
      <c r="BM3156">
        <v>18.62</v>
      </c>
      <c r="BN3156">
        <v>142.75</v>
      </c>
      <c r="BO3156">
        <v>142.75</v>
      </c>
      <c r="BQ3156" t="s">
        <v>3449</v>
      </c>
      <c r="BR3156" t="s">
        <v>97</v>
      </c>
      <c r="BS3156" s="3">
        <v>45958</v>
      </c>
      <c r="BT3156" s="4">
        <v>0.35138888888888886</v>
      </c>
      <c r="BU3156" t="s">
        <v>3450</v>
      </c>
      <c r="BV3156" t="s">
        <v>86</v>
      </c>
      <c r="BY3156">
        <v>93491.13</v>
      </c>
      <c r="CA3156" t="s">
        <v>501</v>
      </c>
      <c r="CC3156" t="s">
        <v>76</v>
      </c>
      <c r="CD3156">
        <v>2156</v>
      </c>
      <c r="CE3156" t="s">
        <v>191</v>
      </c>
      <c r="CF3156" s="3">
        <v>45959</v>
      </c>
      <c r="CI3156">
        <v>1</v>
      </c>
      <c r="CJ3156">
        <v>1</v>
      </c>
      <c r="CK3156">
        <v>42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"080068757304"</f>
        <v>080068757304</v>
      </c>
      <c r="F3157" s="3">
        <v>45957</v>
      </c>
      <c r="G3157">
        <v>202607</v>
      </c>
      <c r="H3157" t="s">
        <v>79</v>
      </c>
      <c r="I3157" t="s">
        <v>80</v>
      </c>
      <c r="J3157" t="s">
        <v>91</v>
      </c>
      <c r="K3157" t="s">
        <v>78</v>
      </c>
      <c r="L3157" t="s">
        <v>223</v>
      </c>
      <c r="M3157" t="s">
        <v>224</v>
      </c>
      <c r="N3157" t="s">
        <v>1592</v>
      </c>
      <c r="O3157" t="s">
        <v>82</v>
      </c>
      <c r="P3157" t="str">
        <f>"4170066219                    "</f>
        <v xml:space="preserve">4170066219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17.46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0.2</v>
      </c>
      <c r="BJ3157">
        <v>1.5</v>
      </c>
      <c r="BK3157">
        <v>2</v>
      </c>
      <c r="BL3157">
        <v>55.42</v>
      </c>
      <c r="BM3157">
        <v>8.31</v>
      </c>
      <c r="BN3157">
        <v>63.73</v>
      </c>
      <c r="BO3157">
        <v>63.73</v>
      </c>
      <c r="BQ3157" t="s">
        <v>1593</v>
      </c>
      <c r="BR3157" t="s">
        <v>97</v>
      </c>
      <c r="BS3157" s="3">
        <v>45958</v>
      </c>
      <c r="BT3157" s="4">
        <v>0.41666666666666669</v>
      </c>
      <c r="BU3157" t="s">
        <v>2271</v>
      </c>
      <c r="BV3157" t="s">
        <v>86</v>
      </c>
      <c r="BY3157">
        <v>7695.6</v>
      </c>
      <c r="CA3157" t="s">
        <v>1595</v>
      </c>
      <c r="CC3157" t="s">
        <v>224</v>
      </c>
      <c r="CD3157">
        <v>1459</v>
      </c>
      <c r="CE3157" t="s">
        <v>147</v>
      </c>
      <c r="CF3157" s="3">
        <v>45959</v>
      </c>
      <c r="CI3157">
        <v>1</v>
      </c>
      <c r="CJ3157">
        <v>1</v>
      </c>
      <c r="CK3157">
        <v>22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"080068757328"</f>
        <v>080068757328</v>
      </c>
      <c r="F3158" s="3">
        <v>45957</v>
      </c>
      <c r="G3158">
        <v>202607</v>
      </c>
      <c r="H3158" t="s">
        <v>79</v>
      </c>
      <c r="I3158" t="s">
        <v>80</v>
      </c>
      <c r="J3158" t="s">
        <v>91</v>
      </c>
      <c r="K3158" t="s">
        <v>78</v>
      </c>
      <c r="L3158" t="s">
        <v>79</v>
      </c>
      <c r="M3158" t="s">
        <v>80</v>
      </c>
      <c r="N3158" t="s">
        <v>628</v>
      </c>
      <c r="O3158" t="s">
        <v>82</v>
      </c>
      <c r="P3158" t="str">
        <f>"4170066209                    "</f>
        <v xml:space="preserve">4170066209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17.46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0.2</v>
      </c>
      <c r="BJ3158">
        <v>3.4</v>
      </c>
      <c r="BK3158">
        <v>4</v>
      </c>
      <c r="BL3158">
        <v>55.42</v>
      </c>
      <c r="BM3158">
        <v>8.31</v>
      </c>
      <c r="BN3158">
        <v>63.73</v>
      </c>
      <c r="BO3158">
        <v>63.73</v>
      </c>
      <c r="BQ3158" t="s">
        <v>629</v>
      </c>
      <c r="BR3158" t="s">
        <v>97</v>
      </c>
      <c r="BS3158" s="3">
        <v>45958</v>
      </c>
      <c r="BT3158" s="4">
        <v>0.41319444444444442</v>
      </c>
      <c r="BU3158" t="s">
        <v>3451</v>
      </c>
      <c r="BV3158" t="s">
        <v>86</v>
      </c>
      <c r="BY3158">
        <v>17107.2</v>
      </c>
      <c r="CA3158" t="s">
        <v>88</v>
      </c>
      <c r="CC3158" t="s">
        <v>80</v>
      </c>
      <c r="CD3158">
        <v>1601</v>
      </c>
      <c r="CE3158" t="s">
        <v>107</v>
      </c>
      <c r="CF3158" s="3">
        <v>45958</v>
      </c>
      <c r="CI3158">
        <v>1</v>
      </c>
      <c r="CJ3158">
        <v>1</v>
      </c>
      <c r="CK3158">
        <v>22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"080068757337"</f>
        <v>080068757337</v>
      </c>
      <c r="F3159" s="3">
        <v>45957</v>
      </c>
      <c r="G3159">
        <v>202607</v>
      </c>
      <c r="H3159" t="s">
        <v>79</v>
      </c>
      <c r="I3159" t="s">
        <v>80</v>
      </c>
      <c r="J3159" t="s">
        <v>91</v>
      </c>
      <c r="K3159" t="s">
        <v>78</v>
      </c>
      <c r="L3159" t="s">
        <v>453</v>
      </c>
      <c r="M3159" t="s">
        <v>454</v>
      </c>
      <c r="N3159" t="s">
        <v>691</v>
      </c>
      <c r="O3159" t="s">
        <v>82</v>
      </c>
      <c r="P3159" t="str">
        <f>"4170066270                    "</f>
        <v xml:space="preserve">4170066270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22.36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70.959999999999994</v>
      </c>
      <c r="BM3159">
        <v>10.64</v>
      </c>
      <c r="BN3159">
        <v>81.599999999999994</v>
      </c>
      <c r="BO3159">
        <v>81.599999999999994</v>
      </c>
      <c r="BQ3159" t="s">
        <v>692</v>
      </c>
      <c r="BR3159" t="s">
        <v>97</v>
      </c>
      <c r="BS3159" s="3">
        <v>45958</v>
      </c>
      <c r="BT3159" s="4">
        <v>0.47499999999999998</v>
      </c>
      <c r="BU3159" t="s">
        <v>3452</v>
      </c>
      <c r="BV3159" t="s">
        <v>86</v>
      </c>
      <c r="BY3159">
        <v>1200</v>
      </c>
      <c r="CA3159" t="s">
        <v>742</v>
      </c>
      <c r="CC3159" t="s">
        <v>454</v>
      </c>
      <c r="CD3159">
        <v>3610</v>
      </c>
      <c r="CE3159" t="s">
        <v>147</v>
      </c>
      <c r="CF3159" s="3">
        <v>45959</v>
      </c>
      <c r="CI3159">
        <v>1</v>
      </c>
      <c r="CJ3159">
        <v>1</v>
      </c>
      <c r="CK3159">
        <v>21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"080068757356"</f>
        <v>080068757356</v>
      </c>
      <c r="F3160" s="3">
        <v>45957</v>
      </c>
      <c r="G3160">
        <v>202607</v>
      </c>
      <c r="H3160" t="s">
        <v>79</v>
      </c>
      <c r="I3160" t="s">
        <v>80</v>
      </c>
      <c r="J3160" t="s">
        <v>91</v>
      </c>
      <c r="K3160" t="s">
        <v>78</v>
      </c>
      <c r="L3160" t="s">
        <v>168</v>
      </c>
      <c r="M3160" t="s">
        <v>169</v>
      </c>
      <c r="N3160" t="s">
        <v>778</v>
      </c>
      <c r="O3160" t="s">
        <v>82</v>
      </c>
      <c r="P3160" t="str">
        <f>"4170066259                    "</f>
        <v xml:space="preserve">4170066259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22.36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70.959999999999994</v>
      </c>
      <c r="BM3160">
        <v>10.64</v>
      </c>
      <c r="BN3160">
        <v>81.599999999999994</v>
      </c>
      <c r="BO3160">
        <v>81.599999999999994</v>
      </c>
      <c r="BQ3160" t="s">
        <v>779</v>
      </c>
      <c r="BR3160" t="s">
        <v>97</v>
      </c>
      <c r="BS3160" s="3">
        <v>45958</v>
      </c>
      <c r="BT3160" s="4">
        <v>0.35</v>
      </c>
      <c r="BU3160" t="s">
        <v>2308</v>
      </c>
      <c r="BV3160" t="s">
        <v>86</v>
      </c>
      <c r="BY3160">
        <v>1200</v>
      </c>
      <c r="CA3160">
        <v>8303236124087</v>
      </c>
      <c r="CC3160" t="s">
        <v>169</v>
      </c>
      <c r="CD3160" s="5" t="s">
        <v>190</v>
      </c>
      <c r="CE3160" t="s">
        <v>147</v>
      </c>
      <c r="CF3160" s="3">
        <v>45958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"080068757380"</f>
        <v>080068757380</v>
      </c>
      <c r="F3161" s="3">
        <v>45957</v>
      </c>
      <c r="G3161">
        <v>202607</v>
      </c>
      <c r="H3161" t="s">
        <v>79</v>
      </c>
      <c r="I3161" t="s">
        <v>80</v>
      </c>
      <c r="J3161" t="s">
        <v>91</v>
      </c>
      <c r="K3161" t="s">
        <v>78</v>
      </c>
      <c r="L3161" t="s">
        <v>233</v>
      </c>
      <c r="M3161" t="s">
        <v>234</v>
      </c>
      <c r="N3161" t="s">
        <v>1066</v>
      </c>
      <c r="O3161" t="s">
        <v>82</v>
      </c>
      <c r="P3161" t="str">
        <f>"4170066253                    "</f>
        <v xml:space="preserve">4170066253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22.36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0.2</v>
      </c>
      <c r="BJ3161">
        <v>0.2</v>
      </c>
      <c r="BK3161">
        <v>0.5</v>
      </c>
      <c r="BL3161">
        <v>70.959999999999994</v>
      </c>
      <c r="BM3161">
        <v>10.64</v>
      </c>
      <c r="BN3161">
        <v>81.599999999999994</v>
      </c>
      <c r="BO3161">
        <v>81.599999999999994</v>
      </c>
      <c r="BQ3161" t="s">
        <v>1067</v>
      </c>
      <c r="BR3161" t="s">
        <v>97</v>
      </c>
      <c r="BS3161" s="3">
        <v>45958</v>
      </c>
      <c r="BT3161" s="4">
        <v>0.34444444444444444</v>
      </c>
      <c r="BU3161" t="s">
        <v>1068</v>
      </c>
      <c r="BV3161" t="s">
        <v>86</v>
      </c>
      <c r="BY3161">
        <v>974.61</v>
      </c>
      <c r="CA3161">
        <v>7104145194083</v>
      </c>
      <c r="CC3161" t="s">
        <v>234</v>
      </c>
      <c r="CD3161" s="5" t="s">
        <v>238</v>
      </c>
      <c r="CE3161" t="s">
        <v>147</v>
      </c>
      <c r="CF3161" s="3">
        <v>45958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"080068757547"</f>
        <v>080068757547</v>
      </c>
      <c r="F3162" s="3">
        <v>45957</v>
      </c>
      <c r="G3162">
        <v>202607</v>
      </c>
      <c r="H3162" t="s">
        <v>79</v>
      </c>
      <c r="I3162" t="s">
        <v>80</v>
      </c>
      <c r="J3162" t="s">
        <v>91</v>
      </c>
      <c r="K3162" t="s">
        <v>78</v>
      </c>
      <c r="L3162" t="s">
        <v>168</v>
      </c>
      <c r="M3162" t="s">
        <v>169</v>
      </c>
      <c r="N3162" t="s">
        <v>212</v>
      </c>
      <c r="O3162" t="s">
        <v>95</v>
      </c>
      <c r="P3162" t="str">
        <f>"4170066232                    "</f>
        <v xml:space="preserve">4170066232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43.23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12.5</v>
      </c>
      <c r="BJ3162">
        <v>9.5</v>
      </c>
      <c r="BK3162">
        <v>13</v>
      </c>
      <c r="BL3162">
        <v>143.08000000000001</v>
      </c>
      <c r="BM3162">
        <v>21.46</v>
      </c>
      <c r="BN3162">
        <v>164.54</v>
      </c>
      <c r="BO3162">
        <v>164.54</v>
      </c>
      <c r="BQ3162" t="s">
        <v>213</v>
      </c>
      <c r="BR3162" t="s">
        <v>97</v>
      </c>
      <c r="BS3162" s="3">
        <v>45958</v>
      </c>
      <c r="BT3162" s="4">
        <v>0.34166666666666667</v>
      </c>
      <c r="BU3162" t="s">
        <v>3453</v>
      </c>
      <c r="BV3162" t="s">
        <v>86</v>
      </c>
      <c r="BY3162">
        <v>47692.800000000003</v>
      </c>
      <c r="CA3162">
        <v>8303236124087</v>
      </c>
      <c r="CC3162" t="s">
        <v>169</v>
      </c>
      <c r="CD3162" s="5" t="s">
        <v>217</v>
      </c>
      <c r="CE3162" t="s">
        <v>191</v>
      </c>
      <c r="CF3162" s="3">
        <v>45958</v>
      </c>
      <c r="CI3162">
        <v>1</v>
      </c>
      <c r="CJ3162">
        <v>1</v>
      </c>
      <c r="CK3162">
        <v>41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"080068757576"</f>
        <v>080068757576</v>
      </c>
      <c r="F3163" s="3">
        <v>45957</v>
      </c>
      <c r="G3163">
        <v>202607</v>
      </c>
      <c r="H3163" t="s">
        <v>79</v>
      </c>
      <c r="I3163" t="s">
        <v>80</v>
      </c>
      <c r="J3163" t="s">
        <v>91</v>
      </c>
      <c r="K3163" t="s">
        <v>78</v>
      </c>
      <c r="L3163" t="s">
        <v>1765</v>
      </c>
      <c r="M3163" t="s">
        <v>1766</v>
      </c>
      <c r="N3163" t="s">
        <v>1767</v>
      </c>
      <c r="O3163" t="s">
        <v>82</v>
      </c>
      <c r="P3163" t="str">
        <f>"4170066145                    "</f>
        <v xml:space="preserve">4170066145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43.31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0.2</v>
      </c>
      <c r="BJ3163">
        <v>1.8</v>
      </c>
      <c r="BK3163">
        <v>2</v>
      </c>
      <c r="BL3163">
        <v>137.47</v>
      </c>
      <c r="BM3163">
        <v>20.62</v>
      </c>
      <c r="BN3163">
        <v>158.09</v>
      </c>
      <c r="BO3163">
        <v>158.09</v>
      </c>
      <c r="BQ3163" t="s">
        <v>1768</v>
      </c>
      <c r="BR3163" t="s">
        <v>97</v>
      </c>
      <c r="BS3163" s="3">
        <v>45958</v>
      </c>
      <c r="BT3163" s="4">
        <v>0.39305555555555555</v>
      </c>
      <c r="BU3163" t="s">
        <v>3454</v>
      </c>
      <c r="BV3163" t="s">
        <v>86</v>
      </c>
      <c r="BY3163">
        <v>8987.76</v>
      </c>
      <c r="CA3163" t="s">
        <v>1770</v>
      </c>
      <c r="CC3163" t="s">
        <v>1766</v>
      </c>
      <c r="CD3163">
        <v>1035</v>
      </c>
      <c r="CE3163" t="s">
        <v>147</v>
      </c>
      <c r="CF3163" s="3">
        <v>45958</v>
      </c>
      <c r="CI3163">
        <v>1</v>
      </c>
      <c r="CJ3163">
        <v>1</v>
      </c>
      <c r="CK3163">
        <v>23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"080068757664"</f>
        <v>080068757664</v>
      </c>
      <c r="F3164" s="3">
        <v>45957</v>
      </c>
      <c r="G3164">
        <v>202607</v>
      </c>
      <c r="H3164" t="s">
        <v>79</v>
      </c>
      <c r="I3164" t="s">
        <v>80</v>
      </c>
      <c r="J3164" t="s">
        <v>91</v>
      </c>
      <c r="K3164" t="s">
        <v>78</v>
      </c>
      <c r="L3164" t="s">
        <v>102</v>
      </c>
      <c r="M3164" t="s">
        <v>103</v>
      </c>
      <c r="N3164" t="s">
        <v>3455</v>
      </c>
      <c r="O3164" t="s">
        <v>82</v>
      </c>
      <c r="P3164" t="str">
        <f>"4170066220                    "</f>
        <v xml:space="preserve">4170066220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17.46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0.2</v>
      </c>
      <c r="BJ3164">
        <v>0.7</v>
      </c>
      <c r="BK3164">
        <v>1</v>
      </c>
      <c r="BL3164">
        <v>55.42</v>
      </c>
      <c r="BM3164">
        <v>8.31</v>
      </c>
      <c r="BN3164">
        <v>63.73</v>
      </c>
      <c r="BO3164">
        <v>63.73</v>
      </c>
      <c r="BQ3164" t="s">
        <v>3456</v>
      </c>
      <c r="BR3164" t="s">
        <v>97</v>
      </c>
      <c r="BS3164" s="3">
        <v>45958</v>
      </c>
      <c r="BT3164" s="4">
        <v>0.37777777777777777</v>
      </c>
      <c r="BU3164" t="s">
        <v>880</v>
      </c>
      <c r="BV3164" t="s">
        <v>86</v>
      </c>
      <c r="BY3164">
        <v>3516.48</v>
      </c>
      <c r="CA3164" t="s">
        <v>621</v>
      </c>
      <c r="CC3164" t="s">
        <v>103</v>
      </c>
      <c r="CD3164">
        <v>1451</v>
      </c>
      <c r="CE3164" t="s">
        <v>147</v>
      </c>
      <c r="CF3164" s="3">
        <v>45959</v>
      </c>
      <c r="CI3164">
        <v>1</v>
      </c>
      <c r="CJ3164">
        <v>1</v>
      </c>
      <c r="CK3164">
        <v>22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"080068758476"</f>
        <v>080068758476</v>
      </c>
      <c r="F3165" s="3">
        <v>45957</v>
      </c>
      <c r="G3165">
        <v>202607</v>
      </c>
      <c r="H3165" t="s">
        <v>79</v>
      </c>
      <c r="I3165" t="s">
        <v>80</v>
      </c>
      <c r="J3165" t="s">
        <v>91</v>
      </c>
      <c r="K3165" t="s">
        <v>78</v>
      </c>
      <c r="L3165" t="s">
        <v>168</v>
      </c>
      <c r="M3165" t="s">
        <v>169</v>
      </c>
      <c r="N3165" t="s">
        <v>836</v>
      </c>
      <c r="O3165" t="s">
        <v>82</v>
      </c>
      <c r="P3165" t="str">
        <f>"4170066174                    "</f>
        <v xml:space="preserve">4170066174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22.36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70.959999999999994</v>
      </c>
      <c r="BM3165">
        <v>10.64</v>
      </c>
      <c r="BN3165">
        <v>81.599999999999994</v>
      </c>
      <c r="BO3165">
        <v>81.599999999999994</v>
      </c>
      <c r="BQ3165" t="s">
        <v>837</v>
      </c>
      <c r="BR3165" t="s">
        <v>97</v>
      </c>
      <c r="BS3165" s="3">
        <v>45958</v>
      </c>
      <c r="BT3165" s="4">
        <v>0.42569444444444443</v>
      </c>
      <c r="BU3165" t="s">
        <v>838</v>
      </c>
      <c r="BV3165" t="s">
        <v>86</v>
      </c>
      <c r="BY3165">
        <v>1200</v>
      </c>
      <c r="CA3165">
        <v>8110305701087</v>
      </c>
      <c r="CC3165" t="s">
        <v>169</v>
      </c>
      <c r="CD3165" s="5" t="s">
        <v>839</v>
      </c>
      <c r="CE3165" t="s">
        <v>147</v>
      </c>
      <c r="CF3165" s="3">
        <v>45958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"080068758493"</f>
        <v>080068758493</v>
      </c>
      <c r="F3166" s="3">
        <v>45957</v>
      </c>
      <c r="G3166">
        <v>202607</v>
      </c>
      <c r="H3166" t="s">
        <v>79</v>
      </c>
      <c r="I3166" t="s">
        <v>80</v>
      </c>
      <c r="J3166" t="s">
        <v>91</v>
      </c>
      <c r="K3166" t="s">
        <v>78</v>
      </c>
      <c r="L3166" t="s">
        <v>206</v>
      </c>
      <c r="M3166" t="s">
        <v>207</v>
      </c>
      <c r="N3166" t="s">
        <v>3457</v>
      </c>
      <c r="O3166" t="s">
        <v>82</v>
      </c>
      <c r="P3166" t="str">
        <f>"4170066250                    "</f>
        <v xml:space="preserve">4170066250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22.36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70.959999999999994</v>
      </c>
      <c r="BM3166">
        <v>10.64</v>
      </c>
      <c r="BN3166">
        <v>81.599999999999994</v>
      </c>
      <c r="BO3166">
        <v>81.599999999999994</v>
      </c>
      <c r="BQ3166" t="s">
        <v>3458</v>
      </c>
      <c r="BR3166" t="s">
        <v>97</v>
      </c>
      <c r="BS3166" s="3">
        <v>45958</v>
      </c>
      <c r="BT3166" s="4">
        <v>0.41180555555555554</v>
      </c>
      <c r="BU3166" t="s">
        <v>658</v>
      </c>
      <c r="BV3166" t="s">
        <v>86</v>
      </c>
      <c r="BY3166">
        <v>1200</v>
      </c>
      <c r="CA3166" t="s">
        <v>211</v>
      </c>
      <c r="CC3166" t="s">
        <v>207</v>
      </c>
      <c r="CD3166">
        <v>7441</v>
      </c>
      <c r="CE3166" t="s">
        <v>147</v>
      </c>
      <c r="CF3166" s="3">
        <v>45959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"080068758505"</f>
        <v>080068758505</v>
      </c>
      <c r="F3167" s="3">
        <v>45957</v>
      </c>
      <c r="G3167">
        <v>202607</v>
      </c>
      <c r="H3167" t="s">
        <v>79</v>
      </c>
      <c r="I3167" t="s">
        <v>80</v>
      </c>
      <c r="J3167" t="s">
        <v>91</v>
      </c>
      <c r="K3167" t="s">
        <v>78</v>
      </c>
      <c r="L3167" t="s">
        <v>79</v>
      </c>
      <c r="M3167" t="s">
        <v>80</v>
      </c>
      <c r="N3167" t="s">
        <v>2816</v>
      </c>
      <c r="O3167" t="s">
        <v>226</v>
      </c>
      <c r="P3167" t="str">
        <f>"4170066261                    "</f>
        <v xml:space="preserve">4170066261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21.39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10</v>
      </c>
      <c r="BJ3167">
        <v>7.1</v>
      </c>
      <c r="BK3167">
        <v>10</v>
      </c>
      <c r="BL3167">
        <v>67.88</v>
      </c>
      <c r="BM3167">
        <v>10.18</v>
      </c>
      <c r="BN3167">
        <v>78.06</v>
      </c>
      <c r="BO3167">
        <v>78.06</v>
      </c>
      <c r="BQ3167" t="s">
        <v>2817</v>
      </c>
      <c r="BR3167" t="s">
        <v>97</v>
      </c>
      <c r="BS3167" s="3">
        <v>45958</v>
      </c>
      <c r="BT3167" s="4">
        <v>0.29166666666666669</v>
      </c>
      <c r="BU3167" t="s">
        <v>3459</v>
      </c>
      <c r="BV3167" t="s">
        <v>86</v>
      </c>
      <c r="BY3167">
        <v>35744.42</v>
      </c>
      <c r="CC3167" t="s">
        <v>80</v>
      </c>
      <c r="CD3167">
        <v>1600</v>
      </c>
      <c r="CE3167" t="s">
        <v>107</v>
      </c>
      <c r="CF3167" s="3">
        <v>45959</v>
      </c>
      <c r="CI3167">
        <v>1</v>
      </c>
      <c r="CJ3167">
        <v>1</v>
      </c>
      <c r="CK3167">
        <v>32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"080068758535"</f>
        <v>080068758535</v>
      </c>
      <c r="F3168" s="3">
        <v>45957</v>
      </c>
      <c r="G3168">
        <v>202607</v>
      </c>
      <c r="H3168" t="s">
        <v>79</v>
      </c>
      <c r="I3168" t="s">
        <v>80</v>
      </c>
      <c r="J3168" t="s">
        <v>91</v>
      </c>
      <c r="K3168" t="s">
        <v>78</v>
      </c>
      <c r="L3168" t="s">
        <v>114</v>
      </c>
      <c r="M3168" t="s">
        <v>115</v>
      </c>
      <c r="N3168" t="s">
        <v>881</v>
      </c>
      <c r="O3168" t="s">
        <v>82</v>
      </c>
      <c r="P3168" t="str">
        <f>"4170066192                    "</f>
        <v xml:space="preserve">4170066192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22.36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0.2</v>
      </c>
      <c r="BJ3168">
        <v>1.3</v>
      </c>
      <c r="BK3168">
        <v>1.5</v>
      </c>
      <c r="BL3168">
        <v>70.959999999999994</v>
      </c>
      <c r="BM3168">
        <v>10.64</v>
      </c>
      <c r="BN3168">
        <v>81.599999999999994</v>
      </c>
      <c r="BO3168">
        <v>81.599999999999994</v>
      </c>
      <c r="BQ3168" t="s">
        <v>882</v>
      </c>
      <c r="BR3168" t="s">
        <v>97</v>
      </c>
      <c r="BS3168" s="3">
        <v>45958</v>
      </c>
      <c r="BT3168" s="4">
        <v>0.45763888888888887</v>
      </c>
      <c r="BU3168" t="s">
        <v>3418</v>
      </c>
      <c r="BV3168" t="s">
        <v>90</v>
      </c>
      <c r="BY3168">
        <v>6614.16</v>
      </c>
      <c r="CA3168" t="s">
        <v>3092</v>
      </c>
      <c r="CC3168" t="s">
        <v>115</v>
      </c>
      <c r="CD3168">
        <v>5201</v>
      </c>
      <c r="CE3168" t="s">
        <v>107</v>
      </c>
      <c r="CF3168" s="3">
        <v>45959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"080068758851"</f>
        <v>080068758851</v>
      </c>
      <c r="F3169" s="3">
        <v>45957</v>
      </c>
      <c r="G3169">
        <v>202607</v>
      </c>
      <c r="H3169" t="s">
        <v>79</v>
      </c>
      <c r="I3169" t="s">
        <v>80</v>
      </c>
      <c r="J3169" t="s">
        <v>91</v>
      </c>
      <c r="K3169" t="s">
        <v>78</v>
      </c>
      <c r="L3169" t="s">
        <v>102</v>
      </c>
      <c r="M3169" t="s">
        <v>103</v>
      </c>
      <c r="N3169" t="s">
        <v>3460</v>
      </c>
      <c r="O3169" t="s">
        <v>82</v>
      </c>
      <c r="P3169" t="str">
        <f>"4170066274                    "</f>
        <v xml:space="preserve">4170066274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17.46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</v>
      </c>
      <c r="BJ3169">
        <v>1.9</v>
      </c>
      <c r="BK3169">
        <v>3</v>
      </c>
      <c r="BL3169">
        <v>55.42</v>
      </c>
      <c r="BM3169">
        <v>8.31</v>
      </c>
      <c r="BN3169">
        <v>63.73</v>
      </c>
      <c r="BO3169">
        <v>63.73</v>
      </c>
      <c r="BQ3169" t="s">
        <v>3461</v>
      </c>
      <c r="BR3169" t="s">
        <v>97</v>
      </c>
      <c r="BS3169" s="3">
        <v>45958</v>
      </c>
      <c r="BT3169" s="4">
        <v>0.41666666666666669</v>
      </c>
      <c r="BU3169" t="s">
        <v>3462</v>
      </c>
      <c r="BV3169" t="s">
        <v>86</v>
      </c>
      <c r="BY3169">
        <v>9576</v>
      </c>
      <c r="CA3169" t="s">
        <v>621</v>
      </c>
      <c r="CC3169" t="s">
        <v>103</v>
      </c>
      <c r="CD3169">
        <v>1451</v>
      </c>
      <c r="CE3169" t="s">
        <v>191</v>
      </c>
      <c r="CF3169" s="3">
        <v>45959</v>
      </c>
      <c r="CI3169">
        <v>1</v>
      </c>
      <c r="CJ3169">
        <v>1</v>
      </c>
      <c r="CK3169">
        <v>22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"080068758879"</f>
        <v>080068758879</v>
      </c>
      <c r="F3170" s="3">
        <v>45957</v>
      </c>
      <c r="G3170">
        <v>202607</v>
      </c>
      <c r="H3170" t="s">
        <v>79</v>
      </c>
      <c r="I3170" t="s">
        <v>80</v>
      </c>
      <c r="J3170" t="s">
        <v>91</v>
      </c>
      <c r="K3170" t="s">
        <v>78</v>
      </c>
      <c r="L3170" t="s">
        <v>114</v>
      </c>
      <c r="M3170" t="s">
        <v>115</v>
      </c>
      <c r="N3170" t="s">
        <v>774</v>
      </c>
      <c r="O3170" t="s">
        <v>82</v>
      </c>
      <c r="P3170" t="str">
        <f>"4170066283                    "</f>
        <v xml:space="preserve">4170066283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22.36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0.2</v>
      </c>
      <c r="BJ3170">
        <v>0.5</v>
      </c>
      <c r="BK3170">
        <v>0.5</v>
      </c>
      <c r="BL3170">
        <v>70.959999999999994</v>
      </c>
      <c r="BM3170">
        <v>10.64</v>
      </c>
      <c r="BN3170">
        <v>81.599999999999994</v>
      </c>
      <c r="BO3170">
        <v>81.599999999999994</v>
      </c>
      <c r="BQ3170" t="s">
        <v>775</v>
      </c>
      <c r="BR3170" t="s">
        <v>97</v>
      </c>
      <c r="BS3170" s="3">
        <v>45958</v>
      </c>
      <c r="BT3170" s="4">
        <v>0.45416666666666666</v>
      </c>
      <c r="BU3170" t="s">
        <v>3463</v>
      </c>
      <c r="BV3170" t="s">
        <v>86</v>
      </c>
      <c r="BY3170">
        <v>2462.35</v>
      </c>
      <c r="CA3170" t="s">
        <v>119</v>
      </c>
      <c r="CC3170" t="s">
        <v>115</v>
      </c>
      <c r="CD3170">
        <v>5201</v>
      </c>
      <c r="CE3170" t="s">
        <v>147</v>
      </c>
      <c r="CF3170" s="3">
        <v>45959</v>
      </c>
      <c r="CI3170">
        <v>5</v>
      </c>
      <c r="CJ3170">
        <v>1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"080068758890"</f>
        <v>080068758890</v>
      </c>
      <c r="F3171" s="3">
        <v>45957</v>
      </c>
      <c r="G3171">
        <v>202607</v>
      </c>
      <c r="H3171" t="s">
        <v>79</v>
      </c>
      <c r="I3171" t="s">
        <v>80</v>
      </c>
      <c r="J3171" t="s">
        <v>91</v>
      </c>
      <c r="K3171" t="s">
        <v>78</v>
      </c>
      <c r="L3171" t="s">
        <v>350</v>
      </c>
      <c r="M3171" t="s">
        <v>351</v>
      </c>
      <c r="N3171" t="s">
        <v>1613</v>
      </c>
      <c r="O3171" t="s">
        <v>82</v>
      </c>
      <c r="P3171" t="str">
        <f>"4170066251                    "</f>
        <v xml:space="preserve">4170066251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43.31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0.2</v>
      </c>
      <c r="BJ3171">
        <v>1.3</v>
      </c>
      <c r="BK3171">
        <v>1.5</v>
      </c>
      <c r="BL3171">
        <v>137.47</v>
      </c>
      <c r="BM3171">
        <v>20.62</v>
      </c>
      <c r="BN3171">
        <v>158.09</v>
      </c>
      <c r="BO3171">
        <v>158.09</v>
      </c>
      <c r="BQ3171" t="s">
        <v>1614</v>
      </c>
      <c r="BR3171" t="s">
        <v>97</v>
      </c>
      <c r="BS3171" s="3">
        <v>45958</v>
      </c>
      <c r="BT3171" s="4">
        <v>0.40347222222222223</v>
      </c>
      <c r="BU3171" t="s">
        <v>3464</v>
      </c>
      <c r="BV3171" t="s">
        <v>86</v>
      </c>
      <c r="BY3171">
        <v>6664.32</v>
      </c>
      <c r="CA3171" t="s">
        <v>2097</v>
      </c>
      <c r="CC3171" t="s">
        <v>351</v>
      </c>
      <c r="CD3171" s="5" t="s">
        <v>356</v>
      </c>
      <c r="CE3171" t="s">
        <v>147</v>
      </c>
      <c r="CF3171" s="3">
        <v>45959</v>
      </c>
      <c r="CI3171">
        <v>1</v>
      </c>
      <c r="CJ3171">
        <v>1</v>
      </c>
      <c r="CK3171">
        <v>23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"080068759618"</f>
        <v>080068759618</v>
      </c>
      <c r="F3172" s="3">
        <v>45957</v>
      </c>
      <c r="G3172">
        <v>202607</v>
      </c>
      <c r="H3172" t="s">
        <v>79</v>
      </c>
      <c r="I3172" t="s">
        <v>80</v>
      </c>
      <c r="J3172" t="s">
        <v>91</v>
      </c>
      <c r="K3172" t="s">
        <v>78</v>
      </c>
      <c r="L3172" t="s">
        <v>809</v>
      </c>
      <c r="M3172" t="s">
        <v>810</v>
      </c>
      <c r="N3172" t="s">
        <v>3465</v>
      </c>
      <c r="O3172" t="s">
        <v>226</v>
      </c>
      <c r="P3172" t="str">
        <f>"4170066216                    "</f>
        <v xml:space="preserve">4170066216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17.47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0.2</v>
      </c>
      <c r="BJ3172">
        <v>7.2</v>
      </c>
      <c r="BK3172">
        <v>8</v>
      </c>
      <c r="BL3172">
        <v>55.44</v>
      </c>
      <c r="BM3172">
        <v>8.32</v>
      </c>
      <c r="BN3172">
        <v>63.76</v>
      </c>
      <c r="BO3172">
        <v>63.76</v>
      </c>
      <c r="BQ3172" t="s">
        <v>3466</v>
      </c>
      <c r="BR3172" t="s">
        <v>97</v>
      </c>
      <c r="BS3172" s="3">
        <v>45958</v>
      </c>
      <c r="BT3172" s="4">
        <v>0.4284722222222222</v>
      </c>
      <c r="BU3172" t="s">
        <v>3467</v>
      </c>
      <c r="BV3172" t="s">
        <v>86</v>
      </c>
      <c r="BY3172">
        <v>36182.720000000001</v>
      </c>
      <c r="CC3172" t="s">
        <v>810</v>
      </c>
      <c r="CD3172">
        <v>1709</v>
      </c>
      <c r="CE3172" t="s">
        <v>107</v>
      </c>
      <c r="CF3172" s="3">
        <v>45958</v>
      </c>
      <c r="CI3172">
        <v>1</v>
      </c>
      <c r="CJ3172">
        <v>1</v>
      </c>
      <c r="CK3172">
        <v>32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"080068759675"</f>
        <v>080068759675</v>
      </c>
      <c r="F3173" s="3">
        <v>45957</v>
      </c>
      <c r="G3173">
        <v>202607</v>
      </c>
      <c r="H3173" t="s">
        <v>79</v>
      </c>
      <c r="I3173" t="s">
        <v>80</v>
      </c>
      <c r="J3173" t="s">
        <v>91</v>
      </c>
      <c r="K3173" t="s">
        <v>78</v>
      </c>
      <c r="L3173" t="s">
        <v>206</v>
      </c>
      <c r="M3173" t="s">
        <v>207</v>
      </c>
      <c r="N3173" t="s">
        <v>427</v>
      </c>
      <c r="O3173" t="s">
        <v>95</v>
      </c>
      <c r="P3173" t="str">
        <f>"4170066189                    "</f>
        <v xml:space="preserve">4170066189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48.59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4.3</v>
      </c>
      <c r="BJ3173">
        <v>18</v>
      </c>
      <c r="BK3173">
        <v>18</v>
      </c>
      <c r="BL3173">
        <v>160.08000000000001</v>
      </c>
      <c r="BM3173">
        <v>24.01</v>
      </c>
      <c r="BN3173">
        <v>184.09</v>
      </c>
      <c r="BO3173">
        <v>184.09</v>
      </c>
      <c r="BQ3173" t="s">
        <v>428</v>
      </c>
      <c r="BR3173" t="s">
        <v>97</v>
      </c>
      <c r="BS3173" s="3">
        <v>45960</v>
      </c>
      <c r="BT3173" s="4">
        <v>0.31736111111111109</v>
      </c>
      <c r="BU3173" t="s">
        <v>429</v>
      </c>
      <c r="BV3173" t="s">
        <v>86</v>
      </c>
      <c r="BY3173">
        <v>89794.559999999998</v>
      </c>
      <c r="CA3173" t="s">
        <v>423</v>
      </c>
      <c r="CC3173" t="s">
        <v>207</v>
      </c>
      <c r="CD3173">
        <v>7530</v>
      </c>
      <c r="CE3173" t="s">
        <v>191</v>
      </c>
      <c r="CI3173">
        <v>3</v>
      </c>
      <c r="CJ3173">
        <v>3</v>
      </c>
      <c r="CK3173">
        <v>41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"080068760622"</f>
        <v>080068760622</v>
      </c>
      <c r="F3174" s="3">
        <v>45957</v>
      </c>
      <c r="G3174">
        <v>202607</v>
      </c>
      <c r="H3174" t="s">
        <v>79</v>
      </c>
      <c r="I3174" t="s">
        <v>80</v>
      </c>
      <c r="J3174" t="s">
        <v>91</v>
      </c>
      <c r="K3174" t="s">
        <v>78</v>
      </c>
      <c r="L3174" t="s">
        <v>985</v>
      </c>
      <c r="M3174" t="s">
        <v>986</v>
      </c>
      <c r="N3174" t="s">
        <v>987</v>
      </c>
      <c r="O3174" t="s">
        <v>82</v>
      </c>
      <c r="P3174" t="str">
        <f>"4170066260                    "</f>
        <v xml:space="preserve">4170066260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22.36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70.959999999999994</v>
      </c>
      <c r="BM3174">
        <v>10.64</v>
      </c>
      <c r="BN3174">
        <v>81.599999999999994</v>
      </c>
      <c r="BO3174">
        <v>81.599999999999994</v>
      </c>
      <c r="BQ3174" t="s">
        <v>988</v>
      </c>
      <c r="BR3174" t="s">
        <v>97</v>
      </c>
      <c r="BS3174" s="3">
        <v>45958</v>
      </c>
      <c r="BT3174" s="4">
        <v>0.41666666666666669</v>
      </c>
      <c r="BU3174" t="s">
        <v>1358</v>
      </c>
      <c r="BV3174" t="s">
        <v>86</v>
      </c>
      <c r="BY3174">
        <v>1200</v>
      </c>
      <c r="CC3174" t="s">
        <v>986</v>
      </c>
      <c r="CD3174">
        <v>7600</v>
      </c>
      <c r="CE3174" t="s">
        <v>147</v>
      </c>
      <c r="CF3174" s="3">
        <v>45959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"080068760632"</f>
        <v>080068760632</v>
      </c>
      <c r="F3175" s="3">
        <v>45957</v>
      </c>
      <c r="G3175">
        <v>202607</v>
      </c>
      <c r="H3175" t="s">
        <v>79</v>
      </c>
      <c r="I3175" t="s">
        <v>80</v>
      </c>
      <c r="J3175" t="s">
        <v>91</v>
      </c>
      <c r="K3175" t="s">
        <v>78</v>
      </c>
      <c r="L3175" t="s">
        <v>281</v>
      </c>
      <c r="M3175" t="s">
        <v>282</v>
      </c>
      <c r="N3175" t="s">
        <v>3410</v>
      </c>
      <c r="O3175" t="s">
        <v>226</v>
      </c>
      <c r="P3175" t="str">
        <f>"4170066181                    "</f>
        <v xml:space="preserve">4170066181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224.96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10</v>
      </c>
      <c r="BJ3175">
        <v>4.8</v>
      </c>
      <c r="BK3175">
        <v>10</v>
      </c>
      <c r="BL3175">
        <v>714</v>
      </c>
      <c r="BM3175">
        <v>107.1</v>
      </c>
      <c r="BN3175">
        <v>821.1</v>
      </c>
      <c r="BO3175">
        <v>821.1</v>
      </c>
      <c r="BQ3175" t="s">
        <v>3411</v>
      </c>
      <c r="BR3175" t="s">
        <v>97</v>
      </c>
      <c r="BS3175" s="3">
        <v>45958</v>
      </c>
      <c r="BT3175" s="4">
        <v>0.54166666666666663</v>
      </c>
      <c r="BU3175" t="s">
        <v>3412</v>
      </c>
      <c r="BV3175" t="s">
        <v>86</v>
      </c>
      <c r="BY3175">
        <v>24244</v>
      </c>
      <c r="CA3175" t="s">
        <v>2018</v>
      </c>
      <c r="CC3175" t="s">
        <v>282</v>
      </c>
      <c r="CD3175">
        <v>1871</v>
      </c>
      <c r="CE3175" t="s">
        <v>191</v>
      </c>
      <c r="CF3175" s="3">
        <v>45959</v>
      </c>
      <c r="CI3175">
        <v>1</v>
      </c>
      <c r="CJ3175">
        <v>1</v>
      </c>
      <c r="CK3175">
        <v>33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"080068760645"</f>
        <v>080068760645</v>
      </c>
      <c r="F3176" s="3">
        <v>45957</v>
      </c>
      <c r="G3176">
        <v>202607</v>
      </c>
      <c r="H3176" t="s">
        <v>79</v>
      </c>
      <c r="I3176" t="s">
        <v>80</v>
      </c>
      <c r="J3176" t="s">
        <v>91</v>
      </c>
      <c r="K3176" t="s">
        <v>78</v>
      </c>
      <c r="L3176" t="s">
        <v>322</v>
      </c>
      <c r="M3176" t="s">
        <v>322</v>
      </c>
      <c r="N3176" t="s">
        <v>376</v>
      </c>
      <c r="O3176" t="s">
        <v>82</v>
      </c>
      <c r="P3176" t="str">
        <f>"4170066289                    "</f>
        <v xml:space="preserve">4170066289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43.31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137.47</v>
      </c>
      <c r="BM3176">
        <v>20.62</v>
      </c>
      <c r="BN3176">
        <v>158.09</v>
      </c>
      <c r="BO3176">
        <v>158.09</v>
      </c>
      <c r="BQ3176" t="s">
        <v>377</v>
      </c>
      <c r="BR3176" t="s">
        <v>97</v>
      </c>
      <c r="BS3176" s="3">
        <v>45958</v>
      </c>
      <c r="BT3176" s="4">
        <v>0.47638888888888886</v>
      </c>
      <c r="BU3176" t="s">
        <v>3468</v>
      </c>
      <c r="BV3176" t="s">
        <v>86</v>
      </c>
      <c r="BY3176">
        <v>1200</v>
      </c>
      <c r="CA3176" t="s">
        <v>1669</v>
      </c>
      <c r="CC3176" t="s">
        <v>322</v>
      </c>
      <c r="CD3176">
        <v>7646</v>
      </c>
      <c r="CE3176" t="s">
        <v>147</v>
      </c>
      <c r="CF3176" s="3">
        <v>45959</v>
      </c>
      <c r="CI3176">
        <v>1</v>
      </c>
      <c r="CJ3176">
        <v>1</v>
      </c>
      <c r="CK3176">
        <v>23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"080068760655"</f>
        <v>080068760655</v>
      </c>
      <c r="F3177" s="3">
        <v>45957</v>
      </c>
      <c r="G3177">
        <v>202607</v>
      </c>
      <c r="H3177" t="s">
        <v>79</v>
      </c>
      <c r="I3177" t="s">
        <v>80</v>
      </c>
      <c r="J3177" t="s">
        <v>91</v>
      </c>
      <c r="K3177" t="s">
        <v>78</v>
      </c>
      <c r="L3177" t="s">
        <v>206</v>
      </c>
      <c r="M3177" t="s">
        <v>207</v>
      </c>
      <c r="N3177" t="s">
        <v>566</v>
      </c>
      <c r="O3177" t="s">
        <v>82</v>
      </c>
      <c r="P3177" t="str">
        <f>"4170066284                    "</f>
        <v xml:space="preserve">4170066284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22.36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1.1000000000000001</v>
      </c>
      <c r="BK3177">
        <v>1.5</v>
      </c>
      <c r="BL3177">
        <v>70.959999999999994</v>
      </c>
      <c r="BM3177">
        <v>10.64</v>
      </c>
      <c r="BN3177">
        <v>81.599999999999994</v>
      </c>
      <c r="BO3177">
        <v>81.599999999999994</v>
      </c>
      <c r="BQ3177" t="s">
        <v>567</v>
      </c>
      <c r="BR3177" t="s">
        <v>97</v>
      </c>
      <c r="BS3177" s="3">
        <v>45958</v>
      </c>
      <c r="BT3177" s="4">
        <v>0.43958333333333333</v>
      </c>
      <c r="BU3177" t="s">
        <v>3469</v>
      </c>
      <c r="BV3177" t="s">
        <v>86</v>
      </c>
      <c r="BY3177">
        <v>5510</v>
      </c>
      <c r="CA3177" t="s">
        <v>569</v>
      </c>
      <c r="CC3177" t="s">
        <v>207</v>
      </c>
      <c r="CD3177">
        <v>7945</v>
      </c>
      <c r="CE3177" t="s">
        <v>191</v>
      </c>
      <c r="CF3177" s="3">
        <v>45959</v>
      </c>
      <c r="CI3177">
        <v>1</v>
      </c>
      <c r="CJ3177">
        <v>1</v>
      </c>
      <c r="CK3177">
        <v>21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"080068760664"</f>
        <v>080068760664</v>
      </c>
      <c r="F3178" s="3">
        <v>45957</v>
      </c>
      <c r="G3178">
        <v>202607</v>
      </c>
      <c r="H3178" t="s">
        <v>79</v>
      </c>
      <c r="I3178" t="s">
        <v>80</v>
      </c>
      <c r="J3178" t="s">
        <v>91</v>
      </c>
      <c r="K3178" t="s">
        <v>78</v>
      </c>
      <c r="L3178" t="s">
        <v>453</v>
      </c>
      <c r="M3178" t="s">
        <v>454</v>
      </c>
      <c r="N3178" t="s">
        <v>845</v>
      </c>
      <c r="O3178" t="s">
        <v>82</v>
      </c>
      <c r="P3178" t="str">
        <f>"4170066285                    "</f>
        <v xml:space="preserve">4170066285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22.36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70.959999999999994</v>
      </c>
      <c r="BM3178">
        <v>10.64</v>
      </c>
      <c r="BN3178">
        <v>81.599999999999994</v>
      </c>
      <c r="BO3178">
        <v>81.599999999999994</v>
      </c>
      <c r="BQ3178" t="s">
        <v>846</v>
      </c>
      <c r="BR3178" t="s">
        <v>97</v>
      </c>
      <c r="BS3178" s="3">
        <v>45958</v>
      </c>
      <c r="BT3178" s="4">
        <v>0.3972222222222222</v>
      </c>
      <c r="BU3178" t="s">
        <v>3470</v>
      </c>
      <c r="BV3178" t="s">
        <v>86</v>
      </c>
      <c r="BY3178">
        <v>1200</v>
      </c>
      <c r="CA3178" t="s">
        <v>457</v>
      </c>
      <c r="CC3178" t="s">
        <v>454</v>
      </c>
      <c r="CD3178">
        <v>3610</v>
      </c>
      <c r="CE3178" t="s">
        <v>147</v>
      </c>
      <c r="CF3178" s="3">
        <v>45959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"080068760686"</f>
        <v>080068760686</v>
      </c>
      <c r="F3179" s="3">
        <v>45957</v>
      </c>
      <c r="G3179">
        <v>202607</v>
      </c>
      <c r="H3179" t="s">
        <v>79</v>
      </c>
      <c r="I3179" t="s">
        <v>80</v>
      </c>
      <c r="J3179" t="s">
        <v>91</v>
      </c>
      <c r="K3179" t="s">
        <v>78</v>
      </c>
      <c r="L3179" t="s">
        <v>1095</v>
      </c>
      <c r="M3179" t="s">
        <v>1096</v>
      </c>
      <c r="N3179" t="s">
        <v>1097</v>
      </c>
      <c r="O3179" t="s">
        <v>82</v>
      </c>
      <c r="P3179" t="str">
        <f>"4170066287                    "</f>
        <v xml:space="preserve">4170066287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43.31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0.2</v>
      </c>
      <c r="BJ3179">
        <v>1.1000000000000001</v>
      </c>
      <c r="BK3179">
        <v>1.5</v>
      </c>
      <c r="BL3179">
        <v>137.47</v>
      </c>
      <c r="BM3179">
        <v>20.62</v>
      </c>
      <c r="BN3179">
        <v>158.09</v>
      </c>
      <c r="BO3179">
        <v>158.09</v>
      </c>
      <c r="BQ3179" t="s">
        <v>1098</v>
      </c>
      <c r="BR3179" t="s">
        <v>97</v>
      </c>
      <c r="BS3179" s="3">
        <v>45958</v>
      </c>
      <c r="BT3179" s="4">
        <v>0.38194444444444442</v>
      </c>
      <c r="BU3179" t="s">
        <v>2320</v>
      </c>
      <c r="BV3179" t="s">
        <v>86</v>
      </c>
      <c r="BY3179">
        <v>5395.2</v>
      </c>
      <c r="CA3179" t="s">
        <v>1099</v>
      </c>
      <c r="CC3179" t="s">
        <v>1096</v>
      </c>
      <c r="CD3179">
        <v>2302</v>
      </c>
      <c r="CE3179" t="s">
        <v>191</v>
      </c>
      <c r="CF3179" s="3">
        <v>45959</v>
      </c>
      <c r="CI3179">
        <v>1</v>
      </c>
      <c r="CJ3179">
        <v>1</v>
      </c>
      <c r="CK3179">
        <v>23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"080068760727"</f>
        <v>080068760727</v>
      </c>
      <c r="F3180" s="3">
        <v>45957</v>
      </c>
      <c r="G3180">
        <v>202607</v>
      </c>
      <c r="H3180" t="s">
        <v>79</v>
      </c>
      <c r="I3180" t="s">
        <v>80</v>
      </c>
      <c r="J3180" t="s">
        <v>91</v>
      </c>
      <c r="K3180" t="s">
        <v>78</v>
      </c>
      <c r="L3180" t="s">
        <v>121</v>
      </c>
      <c r="M3180" t="s">
        <v>122</v>
      </c>
      <c r="N3180" t="s">
        <v>632</v>
      </c>
      <c r="O3180" t="s">
        <v>82</v>
      </c>
      <c r="P3180" t="str">
        <f>"4170066299                    "</f>
        <v xml:space="preserve">4170066299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22.36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0.2</v>
      </c>
      <c r="BJ3180">
        <v>0.5</v>
      </c>
      <c r="BK3180">
        <v>0.5</v>
      </c>
      <c r="BL3180">
        <v>70.959999999999994</v>
      </c>
      <c r="BM3180">
        <v>10.64</v>
      </c>
      <c r="BN3180">
        <v>81.599999999999994</v>
      </c>
      <c r="BO3180">
        <v>81.599999999999994</v>
      </c>
      <c r="BQ3180" t="s">
        <v>633</v>
      </c>
      <c r="BR3180" t="s">
        <v>97</v>
      </c>
      <c r="BS3180" s="3">
        <v>45958</v>
      </c>
      <c r="BT3180" s="4">
        <v>0.54791666666666672</v>
      </c>
      <c r="BU3180" t="s">
        <v>3298</v>
      </c>
      <c r="BV3180" t="s">
        <v>90</v>
      </c>
      <c r="BW3180" t="s">
        <v>136</v>
      </c>
      <c r="BX3180" t="s">
        <v>1222</v>
      </c>
      <c r="BY3180">
        <v>2390.4</v>
      </c>
      <c r="CA3180" t="s">
        <v>635</v>
      </c>
      <c r="CC3180" t="s">
        <v>122</v>
      </c>
      <c r="CD3180">
        <v>4000</v>
      </c>
      <c r="CE3180" t="s">
        <v>147</v>
      </c>
      <c r="CF3180" s="3">
        <v>45959</v>
      </c>
      <c r="CI3180">
        <v>1</v>
      </c>
      <c r="CJ3180">
        <v>1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"080068760969"</f>
        <v>080068760969</v>
      </c>
      <c r="F3181" s="3">
        <v>45957</v>
      </c>
      <c r="G3181">
        <v>202607</v>
      </c>
      <c r="H3181" t="s">
        <v>79</v>
      </c>
      <c r="I3181" t="s">
        <v>80</v>
      </c>
      <c r="J3181" t="s">
        <v>91</v>
      </c>
      <c r="K3181" t="s">
        <v>78</v>
      </c>
      <c r="L3181" t="s">
        <v>108</v>
      </c>
      <c r="M3181" t="s">
        <v>109</v>
      </c>
      <c r="N3181" t="s">
        <v>291</v>
      </c>
      <c r="O3181" t="s">
        <v>82</v>
      </c>
      <c r="P3181" t="str">
        <f>"4170066296                    "</f>
        <v xml:space="preserve">4170066296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22.36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0.2</v>
      </c>
      <c r="BJ3181">
        <v>1</v>
      </c>
      <c r="BK3181">
        <v>1</v>
      </c>
      <c r="BL3181">
        <v>70.959999999999994</v>
      </c>
      <c r="BM3181">
        <v>10.64</v>
      </c>
      <c r="BN3181">
        <v>81.599999999999994</v>
      </c>
      <c r="BO3181">
        <v>81.599999999999994</v>
      </c>
      <c r="BQ3181" t="s">
        <v>292</v>
      </c>
      <c r="BR3181" t="s">
        <v>97</v>
      </c>
      <c r="BS3181" s="3">
        <v>45958</v>
      </c>
      <c r="BT3181" s="4">
        <v>0.38194444444444442</v>
      </c>
      <c r="BU3181" t="s">
        <v>2678</v>
      </c>
      <c r="BV3181" t="s">
        <v>86</v>
      </c>
      <c r="BY3181">
        <v>5003.1000000000004</v>
      </c>
      <c r="CA3181" t="s">
        <v>294</v>
      </c>
      <c r="CC3181" t="s">
        <v>109</v>
      </c>
      <c r="CD3181">
        <v>6001</v>
      </c>
      <c r="CE3181" t="s">
        <v>191</v>
      </c>
      <c r="CF3181" s="3">
        <v>45958</v>
      </c>
      <c r="CI3181">
        <v>1</v>
      </c>
      <c r="CJ3181">
        <v>1</v>
      </c>
      <c r="CK3181">
        <v>21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"080068760974"</f>
        <v>080068760974</v>
      </c>
      <c r="F3182" s="3">
        <v>45957</v>
      </c>
      <c r="G3182">
        <v>202607</v>
      </c>
      <c r="H3182" t="s">
        <v>79</v>
      </c>
      <c r="I3182" t="s">
        <v>80</v>
      </c>
      <c r="J3182" t="s">
        <v>91</v>
      </c>
      <c r="K3182" t="s">
        <v>78</v>
      </c>
      <c r="L3182" t="s">
        <v>114</v>
      </c>
      <c r="M3182" t="s">
        <v>115</v>
      </c>
      <c r="N3182" t="s">
        <v>774</v>
      </c>
      <c r="O3182" t="s">
        <v>82</v>
      </c>
      <c r="P3182" t="str">
        <f>"4170066278                    "</f>
        <v xml:space="preserve">4170066278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22.36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0.2</v>
      </c>
      <c r="BJ3182">
        <v>1.6</v>
      </c>
      <c r="BK3182">
        <v>2</v>
      </c>
      <c r="BL3182">
        <v>70.959999999999994</v>
      </c>
      <c r="BM3182">
        <v>10.64</v>
      </c>
      <c r="BN3182">
        <v>81.599999999999994</v>
      </c>
      <c r="BO3182">
        <v>81.599999999999994</v>
      </c>
      <c r="BQ3182" t="s">
        <v>775</v>
      </c>
      <c r="BR3182" t="s">
        <v>97</v>
      </c>
      <c r="BS3182" s="3">
        <v>45958</v>
      </c>
      <c r="BT3182" s="4">
        <v>0.45277777777777778</v>
      </c>
      <c r="BU3182" t="s">
        <v>3463</v>
      </c>
      <c r="BV3182" t="s">
        <v>86</v>
      </c>
      <c r="BY3182">
        <v>7994.25</v>
      </c>
      <c r="CA3182" t="s">
        <v>119</v>
      </c>
      <c r="CC3182" t="s">
        <v>115</v>
      </c>
      <c r="CD3182">
        <v>5201</v>
      </c>
      <c r="CE3182" t="s">
        <v>147</v>
      </c>
      <c r="CF3182" s="3">
        <v>45959</v>
      </c>
      <c r="CI3182">
        <v>5</v>
      </c>
      <c r="CJ3182">
        <v>1</v>
      </c>
      <c r="CK3182">
        <v>21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"080068761020"</f>
        <v>080068761020</v>
      </c>
      <c r="F3183" s="3">
        <v>45957</v>
      </c>
      <c r="G3183">
        <v>202607</v>
      </c>
      <c r="H3183" t="s">
        <v>79</v>
      </c>
      <c r="I3183" t="s">
        <v>80</v>
      </c>
      <c r="J3183" t="s">
        <v>91</v>
      </c>
      <c r="K3183" t="s">
        <v>78</v>
      </c>
      <c r="L3183" t="s">
        <v>206</v>
      </c>
      <c r="M3183" t="s">
        <v>207</v>
      </c>
      <c r="N3183" t="s">
        <v>208</v>
      </c>
      <c r="O3183" t="s">
        <v>95</v>
      </c>
      <c r="P3183" t="str">
        <f>"4170066254                    "</f>
        <v xml:space="preserve">4170066254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77.14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2</v>
      </c>
      <c r="BI3183">
        <v>33.9</v>
      </c>
      <c r="BJ3183">
        <v>30</v>
      </c>
      <c r="BK3183">
        <v>34</v>
      </c>
      <c r="BL3183">
        <v>250.71</v>
      </c>
      <c r="BM3183">
        <v>37.61</v>
      </c>
      <c r="BN3183">
        <v>288.32</v>
      </c>
      <c r="BO3183">
        <v>288.32</v>
      </c>
      <c r="BQ3183" t="s">
        <v>209</v>
      </c>
      <c r="BR3183" t="s">
        <v>97</v>
      </c>
      <c r="BS3183" s="3">
        <v>45959</v>
      </c>
      <c r="BT3183" s="4">
        <v>0.38263888888888886</v>
      </c>
      <c r="BU3183" t="s">
        <v>1732</v>
      </c>
      <c r="BV3183" t="s">
        <v>86</v>
      </c>
      <c r="BY3183">
        <v>150049.44</v>
      </c>
      <c r="CA3183" t="s">
        <v>211</v>
      </c>
      <c r="CC3183" t="s">
        <v>207</v>
      </c>
      <c r="CD3183">
        <v>7441</v>
      </c>
      <c r="CE3183" t="s">
        <v>975</v>
      </c>
      <c r="CF3183" s="3">
        <v>45960</v>
      </c>
      <c r="CI3183">
        <v>3</v>
      </c>
      <c r="CJ3183">
        <v>2</v>
      </c>
      <c r="CK3183">
        <v>41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"080068761023"</f>
        <v>080068761023</v>
      </c>
      <c r="F3184" s="3">
        <v>45957</v>
      </c>
      <c r="G3184">
        <v>202607</v>
      </c>
      <c r="H3184" t="s">
        <v>79</v>
      </c>
      <c r="I3184" t="s">
        <v>80</v>
      </c>
      <c r="J3184" t="s">
        <v>91</v>
      </c>
      <c r="K3184" t="s">
        <v>78</v>
      </c>
      <c r="L3184" t="s">
        <v>1079</v>
      </c>
      <c r="M3184" t="s">
        <v>1080</v>
      </c>
      <c r="N3184" t="s">
        <v>1081</v>
      </c>
      <c r="O3184" t="s">
        <v>82</v>
      </c>
      <c r="P3184" t="str">
        <f>"4170066275                    "</f>
        <v xml:space="preserve">4170066275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43.31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16.739999999999998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154.21</v>
      </c>
      <c r="BM3184">
        <v>23.13</v>
      </c>
      <c r="BN3184">
        <v>177.34</v>
      </c>
      <c r="BO3184">
        <v>177.34</v>
      </c>
      <c r="BQ3184" t="s">
        <v>1082</v>
      </c>
      <c r="BR3184" t="s">
        <v>97</v>
      </c>
      <c r="BS3184" s="3">
        <v>45958</v>
      </c>
      <c r="BT3184" s="4">
        <v>0.39583333333333331</v>
      </c>
      <c r="BU3184" t="s">
        <v>3471</v>
      </c>
      <c r="BV3184" t="s">
        <v>86</v>
      </c>
      <c r="BY3184">
        <v>1200</v>
      </c>
      <c r="BZ3184" t="s">
        <v>30</v>
      </c>
      <c r="CA3184" t="s">
        <v>1084</v>
      </c>
      <c r="CC3184" t="s">
        <v>1080</v>
      </c>
      <c r="CD3184">
        <v>3875</v>
      </c>
      <c r="CE3184" t="s">
        <v>147</v>
      </c>
      <c r="CF3184" s="3">
        <v>45958</v>
      </c>
      <c r="CI3184">
        <v>2</v>
      </c>
      <c r="CJ3184">
        <v>1</v>
      </c>
      <c r="CK3184">
        <v>23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"080068761060"</f>
        <v>080068761060</v>
      </c>
      <c r="F3185" s="3">
        <v>45957</v>
      </c>
      <c r="G3185">
        <v>202607</v>
      </c>
      <c r="H3185" t="s">
        <v>79</v>
      </c>
      <c r="I3185" t="s">
        <v>80</v>
      </c>
      <c r="J3185" t="s">
        <v>91</v>
      </c>
      <c r="K3185" t="s">
        <v>78</v>
      </c>
      <c r="L3185" t="s">
        <v>114</v>
      </c>
      <c r="M3185" t="s">
        <v>115</v>
      </c>
      <c r="N3185" t="s">
        <v>774</v>
      </c>
      <c r="O3185" t="s">
        <v>82</v>
      </c>
      <c r="P3185" t="str">
        <f>"4170066277                    "</f>
        <v xml:space="preserve">4170066277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22.36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70.959999999999994</v>
      </c>
      <c r="BM3185">
        <v>10.64</v>
      </c>
      <c r="BN3185">
        <v>81.599999999999994</v>
      </c>
      <c r="BO3185">
        <v>81.599999999999994</v>
      </c>
      <c r="BQ3185" t="s">
        <v>775</v>
      </c>
      <c r="BR3185" t="s">
        <v>97</v>
      </c>
      <c r="BS3185" s="3">
        <v>45958</v>
      </c>
      <c r="BT3185" s="4">
        <v>0.45347222222222222</v>
      </c>
      <c r="BU3185" t="s">
        <v>3463</v>
      </c>
      <c r="BV3185" t="s">
        <v>86</v>
      </c>
      <c r="BY3185">
        <v>1200</v>
      </c>
      <c r="CA3185" t="s">
        <v>119</v>
      </c>
      <c r="CC3185" t="s">
        <v>115</v>
      </c>
      <c r="CD3185">
        <v>5201</v>
      </c>
      <c r="CE3185" t="s">
        <v>147</v>
      </c>
      <c r="CF3185" s="3">
        <v>45959</v>
      </c>
      <c r="CI3185">
        <v>5</v>
      </c>
      <c r="CJ3185">
        <v>1</v>
      </c>
      <c r="CK3185">
        <v>21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"080068761070"</f>
        <v>080068761070</v>
      </c>
      <c r="F3186" s="3">
        <v>45957</v>
      </c>
      <c r="G3186">
        <v>202607</v>
      </c>
      <c r="H3186" t="s">
        <v>79</v>
      </c>
      <c r="I3186" t="s">
        <v>80</v>
      </c>
      <c r="J3186" t="s">
        <v>91</v>
      </c>
      <c r="K3186" t="s">
        <v>78</v>
      </c>
      <c r="L3186" t="s">
        <v>168</v>
      </c>
      <c r="M3186" t="s">
        <v>169</v>
      </c>
      <c r="N3186" t="s">
        <v>923</v>
      </c>
      <c r="O3186" t="s">
        <v>95</v>
      </c>
      <c r="P3186" t="str">
        <f>"4170066280                    "</f>
        <v xml:space="preserve">4170066280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43.23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5</v>
      </c>
      <c r="BJ3186">
        <v>7.2</v>
      </c>
      <c r="BK3186">
        <v>8</v>
      </c>
      <c r="BL3186">
        <v>143.08000000000001</v>
      </c>
      <c r="BM3186">
        <v>21.46</v>
      </c>
      <c r="BN3186">
        <v>164.54</v>
      </c>
      <c r="BO3186">
        <v>164.54</v>
      </c>
      <c r="BQ3186" t="s">
        <v>924</v>
      </c>
      <c r="BR3186" t="s">
        <v>97</v>
      </c>
      <c r="BS3186" s="3">
        <v>45958</v>
      </c>
      <c r="BT3186" s="4">
        <v>0.32500000000000001</v>
      </c>
      <c r="BU3186" t="s">
        <v>925</v>
      </c>
      <c r="BV3186" t="s">
        <v>86</v>
      </c>
      <c r="BY3186">
        <v>35964</v>
      </c>
      <c r="CA3186">
        <v>9107126013089</v>
      </c>
      <c r="CC3186" t="s">
        <v>169</v>
      </c>
      <c r="CD3186" s="5" t="s">
        <v>926</v>
      </c>
      <c r="CE3186" t="s">
        <v>107</v>
      </c>
      <c r="CF3186" s="3">
        <v>45958</v>
      </c>
      <c r="CI3186">
        <v>1</v>
      </c>
      <c r="CJ3186">
        <v>1</v>
      </c>
      <c r="CK3186">
        <v>41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"080068761265"</f>
        <v>080068761265</v>
      </c>
      <c r="F3187" s="3">
        <v>45957</v>
      </c>
      <c r="G3187">
        <v>202607</v>
      </c>
      <c r="H3187" t="s">
        <v>79</v>
      </c>
      <c r="I3187" t="s">
        <v>80</v>
      </c>
      <c r="J3187" t="s">
        <v>91</v>
      </c>
      <c r="K3187" t="s">
        <v>78</v>
      </c>
      <c r="L3187" t="s">
        <v>453</v>
      </c>
      <c r="M3187" t="s">
        <v>454</v>
      </c>
      <c r="N3187" t="s">
        <v>845</v>
      </c>
      <c r="O3187" t="s">
        <v>82</v>
      </c>
      <c r="P3187" t="str">
        <f>"4170066290                    "</f>
        <v xml:space="preserve">4170066290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22.36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0.2</v>
      </c>
      <c r="BJ3187">
        <v>1.5</v>
      </c>
      <c r="BK3187">
        <v>1.5</v>
      </c>
      <c r="BL3187">
        <v>70.959999999999994</v>
      </c>
      <c r="BM3187">
        <v>10.64</v>
      </c>
      <c r="BN3187">
        <v>81.599999999999994</v>
      </c>
      <c r="BO3187">
        <v>81.599999999999994</v>
      </c>
      <c r="BQ3187" t="s">
        <v>846</v>
      </c>
      <c r="BR3187" t="s">
        <v>97</v>
      </c>
      <c r="BS3187" s="3">
        <v>45958</v>
      </c>
      <c r="BT3187" s="4">
        <v>0.39791666666666664</v>
      </c>
      <c r="BU3187" t="s">
        <v>3470</v>
      </c>
      <c r="BV3187" t="s">
        <v>86</v>
      </c>
      <c r="BY3187">
        <v>7504</v>
      </c>
      <c r="CA3187" t="s">
        <v>457</v>
      </c>
      <c r="CC3187" t="s">
        <v>454</v>
      </c>
      <c r="CD3187">
        <v>3610</v>
      </c>
      <c r="CE3187" t="s">
        <v>107</v>
      </c>
      <c r="CF3187" s="3">
        <v>45959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"080068761295"</f>
        <v>080068761295</v>
      </c>
      <c r="F3188" s="3">
        <v>45957</v>
      </c>
      <c r="G3188">
        <v>202607</v>
      </c>
      <c r="H3188" t="s">
        <v>79</v>
      </c>
      <c r="I3188" t="s">
        <v>80</v>
      </c>
      <c r="J3188" t="s">
        <v>91</v>
      </c>
      <c r="K3188" t="s">
        <v>78</v>
      </c>
      <c r="L3188" t="s">
        <v>453</v>
      </c>
      <c r="M3188" t="s">
        <v>454</v>
      </c>
      <c r="N3188" t="s">
        <v>2432</v>
      </c>
      <c r="O3188" t="s">
        <v>82</v>
      </c>
      <c r="P3188" t="str">
        <f>"4170066273                    "</f>
        <v xml:space="preserve">4170066273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22.36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0.2</v>
      </c>
      <c r="BJ3188">
        <v>1.4</v>
      </c>
      <c r="BK3188">
        <v>1.5</v>
      </c>
      <c r="BL3188">
        <v>70.959999999999994</v>
      </c>
      <c r="BM3188">
        <v>10.64</v>
      </c>
      <c r="BN3188">
        <v>81.599999999999994</v>
      </c>
      <c r="BO3188">
        <v>81.599999999999994</v>
      </c>
      <c r="BQ3188" t="s">
        <v>2433</v>
      </c>
      <c r="BR3188" t="s">
        <v>97</v>
      </c>
      <c r="BS3188" s="3">
        <v>45958</v>
      </c>
      <c r="BT3188" s="4">
        <v>0.40763888888888888</v>
      </c>
      <c r="BU3188" t="s">
        <v>3096</v>
      </c>
      <c r="BV3188" t="s">
        <v>86</v>
      </c>
      <c r="BY3188">
        <v>6885.45</v>
      </c>
      <c r="CA3188" t="s">
        <v>742</v>
      </c>
      <c r="CC3188" t="s">
        <v>454</v>
      </c>
      <c r="CD3188">
        <v>3600</v>
      </c>
      <c r="CE3188" t="s">
        <v>147</v>
      </c>
      <c r="CF3188" s="3">
        <v>45959</v>
      </c>
      <c r="CI3188">
        <v>1</v>
      </c>
      <c r="CJ3188">
        <v>1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"080068761321"</f>
        <v>080068761321</v>
      </c>
      <c r="F3189" s="3">
        <v>45957</v>
      </c>
      <c r="G3189">
        <v>202607</v>
      </c>
      <c r="H3189" t="s">
        <v>79</v>
      </c>
      <c r="I3189" t="s">
        <v>80</v>
      </c>
      <c r="J3189" t="s">
        <v>91</v>
      </c>
      <c r="K3189" t="s">
        <v>78</v>
      </c>
      <c r="L3189" t="s">
        <v>114</v>
      </c>
      <c r="M3189" t="s">
        <v>115</v>
      </c>
      <c r="N3189" t="s">
        <v>806</v>
      </c>
      <c r="O3189" t="s">
        <v>82</v>
      </c>
      <c r="P3189" t="str">
        <f>"4170066288                    "</f>
        <v xml:space="preserve">4170066288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22.36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0.2</v>
      </c>
      <c r="BJ3189">
        <v>0.6</v>
      </c>
      <c r="BK3189">
        <v>1</v>
      </c>
      <c r="BL3189">
        <v>70.959999999999994</v>
      </c>
      <c r="BM3189">
        <v>10.64</v>
      </c>
      <c r="BN3189">
        <v>81.599999999999994</v>
      </c>
      <c r="BO3189">
        <v>81.599999999999994</v>
      </c>
      <c r="BQ3189" t="s">
        <v>807</v>
      </c>
      <c r="BR3189" t="s">
        <v>97</v>
      </c>
      <c r="BS3189" s="3">
        <v>45958</v>
      </c>
      <c r="BT3189" s="4">
        <v>0.42430555555555555</v>
      </c>
      <c r="BU3189" t="s">
        <v>3472</v>
      </c>
      <c r="BV3189" t="s">
        <v>86</v>
      </c>
      <c r="BY3189">
        <v>2889.9</v>
      </c>
      <c r="CA3189" t="s">
        <v>3092</v>
      </c>
      <c r="CC3189" t="s">
        <v>115</v>
      </c>
      <c r="CD3189">
        <v>5201</v>
      </c>
      <c r="CE3189" t="s">
        <v>147</v>
      </c>
      <c r="CF3189" s="3">
        <v>45959</v>
      </c>
      <c r="CI3189">
        <v>1</v>
      </c>
      <c r="CJ3189">
        <v>1</v>
      </c>
      <c r="CK3189">
        <v>21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"080068761339"</f>
        <v>080068761339</v>
      </c>
      <c r="F3190" s="3">
        <v>45957</v>
      </c>
      <c r="G3190">
        <v>202607</v>
      </c>
      <c r="H3190" t="s">
        <v>79</v>
      </c>
      <c r="I3190" t="s">
        <v>80</v>
      </c>
      <c r="J3190" t="s">
        <v>91</v>
      </c>
      <c r="K3190" t="s">
        <v>78</v>
      </c>
      <c r="L3190" t="s">
        <v>218</v>
      </c>
      <c r="M3190" t="s">
        <v>219</v>
      </c>
      <c r="N3190" t="s">
        <v>898</v>
      </c>
      <c r="O3190" t="s">
        <v>82</v>
      </c>
      <c r="P3190" t="str">
        <f>"4170066276                    "</f>
        <v xml:space="preserve">4170066276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17.46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55.42</v>
      </c>
      <c r="BM3190">
        <v>8.31</v>
      </c>
      <c r="BN3190">
        <v>63.73</v>
      </c>
      <c r="BO3190">
        <v>63.73</v>
      </c>
      <c r="BQ3190" t="s">
        <v>899</v>
      </c>
      <c r="BR3190" t="s">
        <v>97</v>
      </c>
      <c r="BS3190" s="3">
        <v>45958</v>
      </c>
      <c r="BT3190" s="4">
        <v>0.34930555555555554</v>
      </c>
      <c r="BU3190" t="s">
        <v>3056</v>
      </c>
      <c r="BV3190" t="s">
        <v>86</v>
      </c>
      <c r="BY3190">
        <v>1200</v>
      </c>
      <c r="CA3190" t="s">
        <v>1434</v>
      </c>
      <c r="CC3190" t="s">
        <v>219</v>
      </c>
      <c r="CD3190">
        <v>1559</v>
      </c>
      <c r="CE3190" t="s">
        <v>147</v>
      </c>
      <c r="CF3190" s="3">
        <v>45959</v>
      </c>
      <c r="CI3190">
        <v>1</v>
      </c>
      <c r="CJ3190">
        <v>1</v>
      </c>
      <c r="CK3190">
        <v>22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"080068761367"</f>
        <v>080068761367</v>
      </c>
      <c r="F3191" s="3">
        <v>45957</v>
      </c>
      <c r="G3191">
        <v>202607</v>
      </c>
      <c r="H3191" t="s">
        <v>79</v>
      </c>
      <c r="I3191" t="s">
        <v>80</v>
      </c>
      <c r="J3191" t="s">
        <v>91</v>
      </c>
      <c r="K3191" t="s">
        <v>78</v>
      </c>
      <c r="L3191" t="s">
        <v>92</v>
      </c>
      <c r="M3191" t="s">
        <v>93</v>
      </c>
      <c r="N3191" t="s">
        <v>597</v>
      </c>
      <c r="O3191" t="s">
        <v>82</v>
      </c>
      <c r="P3191" t="str">
        <f>"4170066295                    "</f>
        <v xml:space="preserve">4170066295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22.36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0.2</v>
      </c>
      <c r="BJ3191">
        <v>0.7</v>
      </c>
      <c r="BK3191">
        <v>1</v>
      </c>
      <c r="BL3191">
        <v>70.959999999999994</v>
      </c>
      <c r="BM3191">
        <v>10.64</v>
      </c>
      <c r="BN3191">
        <v>81.599999999999994</v>
      </c>
      <c r="BO3191">
        <v>81.599999999999994</v>
      </c>
      <c r="BQ3191" t="s">
        <v>598</v>
      </c>
      <c r="BR3191" t="s">
        <v>97</v>
      </c>
      <c r="BS3191" s="3">
        <v>45958</v>
      </c>
      <c r="BT3191" s="4">
        <v>0.43402777777777779</v>
      </c>
      <c r="BU3191" t="s">
        <v>1065</v>
      </c>
      <c r="BV3191" t="s">
        <v>86</v>
      </c>
      <c r="BY3191">
        <v>3748.68</v>
      </c>
      <c r="CA3191" t="s">
        <v>600</v>
      </c>
      <c r="CC3191" t="s">
        <v>93</v>
      </c>
      <c r="CD3191">
        <v>3201</v>
      </c>
      <c r="CE3191" t="s">
        <v>107</v>
      </c>
      <c r="CF3191" s="3">
        <v>45959</v>
      </c>
      <c r="CI3191">
        <v>1</v>
      </c>
      <c r="CJ3191">
        <v>1</v>
      </c>
      <c r="CK3191">
        <v>21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"080068761469"</f>
        <v>080068761469</v>
      </c>
      <c r="F3192" s="3">
        <v>45957</v>
      </c>
      <c r="G3192">
        <v>202607</v>
      </c>
      <c r="H3192" t="s">
        <v>79</v>
      </c>
      <c r="I3192" t="s">
        <v>80</v>
      </c>
      <c r="J3192" t="s">
        <v>91</v>
      </c>
      <c r="K3192" t="s">
        <v>78</v>
      </c>
      <c r="L3192" t="s">
        <v>2325</v>
      </c>
      <c r="M3192" t="s">
        <v>2326</v>
      </c>
      <c r="N3192" t="s">
        <v>2327</v>
      </c>
      <c r="O3192" t="s">
        <v>82</v>
      </c>
      <c r="P3192" t="str">
        <f>"4170066272                    "</f>
        <v xml:space="preserve">4170066272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43.31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0.2</v>
      </c>
      <c r="BJ3192">
        <v>0.4</v>
      </c>
      <c r="BK3192">
        <v>0.5</v>
      </c>
      <c r="BL3192">
        <v>137.47</v>
      </c>
      <c r="BM3192">
        <v>20.62</v>
      </c>
      <c r="BN3192">
        <v>158.09</v>
      </c>
      <c r="BO3192">
        <v>158.09</v>
      </c>
      <c r="BQ3192" t="s">
        <v>2328</v>
      </c>
      <c r="BR3192" t="s">
        <v>97</v>
      </c>
      <c r="BS3192" s="3">
        <v>45958</v>
      </c>
      <c r="BT3192" s="4">
        <v>0.58750000000000002</v>
      </c>
      <c r="BU3192" t="s">
        <v>2630</v>
      </c>
      <c r="BV3192" t="s">
        <v>86</v>
      </c>
      <c r="BY3192">
        <v>1827</v>
      </c>
      <c r="CA3192" t="s">
        <v>2631</v>
      </c>
      <c r="CC3192" t="s">
        <v>2326</v>
      </c>
      <c r="CD3192">
        <v>4449</v>
      </c>
      <c r="CE3192" t="s">
        <v>147</v>
      </c>
      <c r="CF3192" s="3">
        <v>45959</v>
      </c>
      <c r="CI3192">
        <v>1</v>
      </c>
      <c r="CJ3192">
        <v>1</v>
      </c>
      <c r="CK3192">
        <v>23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"080068761571"</f>
        <v>080068761571</v>
      </c>
      <c r="F3193" s="3">
        <v>45957</v>
      </c>
      <c r="G3193">
        <v>202607</v>
      </c>
      <c r="H3193" t="s">
        <v>79</v>
      </c>
      <c r="I3193" t="s">
        <v>80</v>
      </c>
      <c r="J3193" t="s">
        <v>91</v>
      </c>
      <c r="K3193" t="s">
        <v>78</v>
      </c>
      <c r="L3193" t="s">
        <v>271</v>
      </c>
      <c r="M3193" t="s">
        <v>272</v>
      </c>
      <c r="N3193" t="s">
        <v>1489</v>
      </c>
      <c r="O3193" t="s">
        <v>82</v>
      </c>
      <c r="P3193" t="str">
        <f>"4170065938                    "</f>
        <v xml:space="preserve">4170065938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17.46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55.42</v>
      </c>
      <c r="BM3193">
        <v>8.31</v>
      </c>
      <c r="BN3193">
        <v>63.73</v>
      </c>
      <c r="BO3193">
        <v>63.73</v>
      </c>
      <c r="BQ3193" t="s">
        <v>1490</v>
      </c>
      <c r="BR3193" t="s">
        <v>97</v>
      </c>
      <c r="BS3193" s="3">
        <v>45958</v>
      </c>
      <c r="BT3193" s="4">
        <v>0.34166666666666667</v>
      </c>
      <c r="BU3193" t="s">
        <v>2884</v>
      </c>
      <c r="BV3193" t="s">
        <v>86</v>
      </c>
      <c r="BY3193">
        <v>1200</v>
      </c>
      <c r="CA3193" t="s">
        <v>1659</v>
      </c>
      <c r="CC3193" t="s">
        <v>272</v>
      </c>
      <c r="CD3193">
        <v>1406</v>
      </c>
      <c r="CE3193" t="s">
        <v>147</v>
      </c>
      <c r="CF3193" s="3">
        <v>45959</v>
      </c>
      <c r="CI3193">
        <v>1</v>
      </c>
      <c r="CJ3193">
        <v>1</v>
      </c>
      <c r="CK3193">
        <v>22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"080068761602"</f>
        <v>080068761602</v>
      </c>
      <c r="F3194" s="3">
        <v>45957</v>
      </c>
      <c r="G3194">
        <v>202607</v>
      </c>
      <c r="H3194" t="s">
        <v>79</v>
      </c>
      <c r="I3194" t="s">
        <v>80</v>
      </c>
      <c r="J3194" t="s">
        <v>91</v>
      </c>
      <c r="K3194" t="s">
        <v>78</v>
      </c>
      <c r="L3194" t="s">
        <v>763</v>
      </c>
      <c r="M3194" t="s">
        <v>764</v>
      </c>
      <c r="N3194" t="s">
        <v>765</v>
      </c>
      <c r="O3194" t="s">
        <v>82</v>
      </c>
      <c r="P3194" t="str">
        <f>"4170066291                    "</f>
        <v xml:space="preserve">4170066291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43.31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0.2</v>
      </c>
      <c r="BJ3194">
        <v>0.5</v>
      </c>
      <c r="BK3194">
        <v>0.5</v>
      </c>
      <c r="BL3194">
        <v>137.47</v>
      </c>
      <c r="BM3194">
        <v>20.62</v>
      </c>
      <c r="BN3194">
        <v>158.09</v>
      </c>
      <c r="BO3194">
        <v>158.09</v>
      </c>
      <c r="BQ3194" t="s">
        <v>766</v>
      </c>
      <c r="BR3194" t="s">
        <v>97</v>
      </c>
      <c r="BS3194" s="3">
        <v>45958</v>
      </c>
      <c r="BT3194" s="4">
        <v>0.52013888888888893</v>
      </c>
      <c r="BU3194" t="s">
        <v>3425</v>
      </c>
      <c r="BV3194" t="s">
        <v>86</v>
      </c>
      <c r="BY3194">
        <v>2584.56</v>
      </c>
      <c r="CA3194" t="s">
        <v>768</v>
      </c>
      <c r="CC3194" t="s">
        <v>764</v>
      </c>
      <c r="CD3194">
        <v>2531</v>
      </c>
      <c r="CE3194" t="s">
        <v>147</v>
      </c>
      <c r="CF3194" s="3">
        <v>45959</v>
      </c>
      <c r="CI3194">
        <v>1</v>
      </c>
      <c r="CJ3194">
        <v>1</v>
      </c>
      <c r="CK3194">
        <v>23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"080068762114"</f>
        <v>080068762114</v>
      </c>
      <c r="F3195" s="3">
        <v>45957</v>
      </c>
      <c r="G3195">
        <v>202607</v>
      </c>
      <c r="H3195" t="s">
        <v>79</v>
      </c>
      <c r="I3195" t="s">
        <v>80</v>
      </c>
      <c r="J3195" t="s">
        <v>91</v>
      </c>
      <c r="K3195" t="s">
        <v>78</v>
      </c>
      <c r="L3195" t="s">
        <v>108</v>
      </c>
      <c r="M3195" t="s">
        <v>109</v>
      </c>
      <c r="N3195" t="s">
        <v>312</v>
      </c>
      <c r="O3195" t="s">
        <v>82</v>
      </c>
      <c r="P3195" t="str">
        <f>"4170066311                    "</f>
        <v xml:space="preserve">4170066311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22.36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70.959999999999994</v>
      </c>
      <c r="BM3195">
        <v>10.64</v>
      </c>
      <c r="BN3195">
        <v>81.599999999999994</v>
      </c>
      <c r="BO3195">
        <v>81.599999999999994</v>
      </c>
      <c r="BQ3195" t="s">
        <v>313</v>
      </c>
      <c r="BR3195" t="s">
        <v>97</v>
      </c>
      <c r="BS3195" s="3">
        <v>45958</v>
      </c>
      <c r="BT3195" s="4">
        <v>0.38750000000000001</v>
      </c>
      <c r="BU3195" t="s">
        <v>2885</v>
      </c>
      <c r="BV3195" t="s">
        <v>86</v>
      </c>
      <c r="BY3195">
        <v>1200</v>
      </c>
      <c r="CA3195" t="s">
        <v>142</v>
      </c>
      <c r="CC3195" t="s">
        <v>109</v>
      </c>
      <c r="CD3195">
        <v>6001</v>
      </c>
      <c r="CE3195" t="s">
        <v>147</v>
      </c>
      <c r="CF3195" s="3">
        <v>45958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"080068762170"</f>
        <v>080068762170</v>
      </c>
      <c r="F3196" s="3">
        <v>45957</v>
      </c>
      <c r="G3196">
        <v>202607</v>
      </c>
      <c r="H3196" t="s">
        <v>79</v>
      </c>
      <c r="I3196" t="s">
        <v>80</v>
      </c>
      <c r="J3196" t="s">
        <v>91</v>
      </c>
      <c r="K3196" t="s">
        <v>78</v>
      </c>
      <c r="L3196" t="s">
        <v>108</v>
      </c>
      <c r="M3196" t="s">
        <v>109</v>
      </c>
      <c r="N3196" t="s">
        <v>515</v>
      </c>
      <c r="O3196" t="s">
        <v>82</v>
      </c>
      <c r="P3196" t="str">
        <f>"4170066304                    "</f>
        <v xml:space="preserve">4170066304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22.36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70.959999999999994</v>
      </c>
      <c r="BM3196">
        <v>10.64</v>
      </c>
      <c r="BN3196">
        <v>81.599999999999994</v>
      </c>
      <c r="BO3196">
        <v>81.599999999999994</v>
      </c>
      <c r="BQ3196" t="s">
        <v>516</v>
      </c>
      <c r="BR3196" t="s">
        <v>97</v>
      </c>
      <c r="BS3196" s="3">
        <v>45958</v>
      </c>
      <c r="BT3196" s="4">
        <v>0.43541666666666667</v>
      </c>
      <c r="BU3196" t="s">
        <v>2672</v>
      </c>
      <c r="BV3196" t="s">
        <v>86</v>
      </c>
      <c r="BY3196">
        <v>1200</v>
      </c>
      <c r="CA3196" t="s">
        <v>762</v>
      </c>
      <c r="CC3196" t="s">
        <v>109</v>
      </c>
      <c r="CD3196">
        <v>6001</v>
      </c>
      <c r="CE3196" t="s">
        <v>147</v>
      </c>
      <c r="CF3196" s="3">
        <v>45958</v>
      </c>
      <c r="CI3196">
        <v>1</v>
      </c>
      <c r="CJ3196">
        <v>1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"080068762215"</f>
        <v>080068762215</v>
      </c>
      <c r="F3197" s="3">
        <v>45957</v>
      </c>
      <c r="G3197">
        <v>202607</v>
      </c>
      <c r="H3197" t="s">
        <v>79</v>
      </c>
      <c r="I3197" t="s">
        <v>80</v>
      </c>
      <c r="J3197" t="s">
        <v>91</v>
      </c>
      <c r="K3197" t="s">
        <v>78</v>
      </c>
      <c r="L3197" t="s">
        <v>223</v>
      </c>
      <c r="M3197" t="s">
        <v>224</v>
      </c>
      <c r="N3197" t="s">
        <v>1824</v>
      </c>
      <c r="O3197" t="s">
        <v>82</v>
      </c>
      <c r="P3197" t="str">
        <f>"4170066307                    "</f>
        <v xml:space="preserve">4170066307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17.46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55.42</v>
      </c>
      <c r="BM3197">
        <v>8.31</v>
      </c>
      <c r="BN3197">
        <v>63.73</v>
      </c>
      <c r="BO3197">
        <v>63.73</v>
      </c>
      <c r="BQ3197" t="s">
        <v>1825</v>
      </c>
      <c r="BR3197" t="s">
        <v>97</v>
      </c>
      <c r="BS3197" s="3">
        <v>45958</v>
      </c>
      <c r="BT3197" s="4">
        <v>0.41805555555555557</v>
      </c>
      <c r="BU3197" t="s">
        <v>1826</v>
      </c>
      <c r="BV3197" t="s">
        <v>86</v>
      </c>
      <c r="BY3197">
        <v>1200</v>
      </c>
      <c r="CA3197" t="s">
        <v>1595</v>
      </c>
      <c r="CC3197" t="s">
        <v>224</v>
      </c>
      <c r="CD3197">
        <v>1459</v>
      </c>
      <c r="CE3197" t="s">
        <v>147</v>
      </c>
      <c r="CF3197" s="3">
        <v>45959</v>
      </c>
      <c r="CI3197">
        <v>1</v>
      </c>
      <c r="CJ3197">
        <v>1</v>
      </c>
      <c r="CK3197">
        <v>22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"080068762257"</f>
        <v>080068762257</v>
      </c>
      <c r="F3198" s="3">
        <v>45957</v>
      </c>
      <c r="G3198">
        <v>202607</v>
      </c>
      <c r="H3198" t="s">
        <v>79</v>
      </c>
      <c r="I3198" t="s">
        <v>80</v>
      </c>
      <c r="J3198" t="s">
        <v>91</v>
      </c>
      <c r="K3198" t="s">
        <v>78</v>
      </c>
      <c r="L3198" t="s">
        <v>108</v>
      </c>
      <c r="M3198" t="s">
        <v>109</v>
      </c>
      <c r="N3198" t="s">
        <v>515</v>
      </c>
      <c r="O3198" t="s">
        <v>82</v>
      </c>
      <c r="P3198" t="str">
        <f>"4170066303                    "</f>
        <v xml:space="preserve">4170066303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22.36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70.959999999999994</v>
      </c>
      <c r="BM3198">
        <v>10.64</v>
      </c>
      <c r="BN3198">
        <v>81.599999999999994</v>
      </c>
      <c r="BO3198">
        <v>81.599999999999994</v>
      </c>
      <c r="BQ3198" t="s">
        <v>516</v>
      </c>
      <c r="BR3198" t="s">
        <v>97</v>
      </c>
      <c r="BS3198" s="3">
        <v>45958</v>
      </c>
      <c r="BT3198" s="4">
        <v>0.43541666666666667</v>
      </c>
      <c r="BU3198" t="s">
        <v>2672</v>
      </c>
      <c r="BV3198" t="s">
        <v>86</v>
      </c>
      <c r="BY3198">
        <v>1200</v>
      </c>
      <c r="CA3198" t="s">
        <v>762</v>
      </c>
      <c r="CC3198" t="s">
        <v>109</v>
      </c>
      <c r="CD3198">
        <v>6001</v>
      </c>
      <c r="CE3198" t="s">
        <v>147</v>
      </c>
      <c r="CF3198" s="3">
        <v>45958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"080068762466"</f>
        <v>080068762466</v>
      </c>
      <c r="F3199" s="3">
        <v>45957</v>
      </c>
      <c r="G3199">
        <v>202607</v>
      </c>
      <c r="H3199" t="s">
        <v>79</v>
      </c>
      <c r="I3199" t="s">
        <v>80</v>
      </c>
      <c r="J3199" t="s">
        <v>91</v>
      </c>
      <c r="K3199" t="s">
        <v>78</v>
      </c>
      <c r="L3199" t="s">
        <v>453</v>
      </c>
      <c r="M3199" t="s">
        <v>454</v>
      </c>
      <c r="N3199" t="s">
        <v>455</v>
      </c>
      <c r="O3199" t="s">
        <v>82</v>
      </c>
      <c r="P3199" t="str">
        <f>"4170066309                    "</f>
        <v xml:space="preserve">4170066309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22.36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0.9</v>
      </c>
      <c r="BK3199">
        <v>1</v>
      </c>
      <c r="BL3199">
        <v>70.959999999999994</v>
      </c>
      <c r="BM3199">
        <v>10.64</v>
      </c>
      <c r="BN3199">
        <v>81.599999999999994</v>
      </c>
      <c r="BO3199">
        <v>81.599999999999994</v>
      </c>
      <c r="BQ3199" t="s">
        <v>456</v>
      </c>
      <c r="BR3199" t="s">
        <v>97</v>
      </c>
      <c r="BS3199" s="3">
        <v>45958</v>
      </c>
      <c r="BT3199" s="4">
        <v>0.36875000000000002</v>
      </c>
      <c r="BU3199" t="s">
        <v>434</v>
      </c>
      <c r="BV3199" t="s">
        <v>86</v>
      </c>
      <c r="BY3199">
        <v>4275</v>
      </c>
      <c r="CA3199" t="s">
        <v>457</v>
      </c>
      <c r="CC3199" t="s">
        <v>454</v>
      </c>
      <c r="CD3199">
        <v>3608</v>
      </c>
      <c r="CE3199" t="s">
        <v>191</v>
      </c>
      <c r="CF3199" s="3">
        <v>45959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"080068762535"</f>
        <v>080068762535</v>
      </c>
      <c r="F3200" s="3">
        <v>45957</v>
      </c>
      <c r="G3200">
        <v>202607</v>
      </c>
      <c r="H3200" t="s">
        <v>79</v>
      </c>
      <c r="I3200" t="s">
        <v>80</v>
      </c>
      <c r="J3200" t="s">
        <v>91</v>
      </c>
      <c r="K3200" t="s">
        <v>78</v>
      </c>
      <c r="L3200" t="s">
        <v>121</v>
      </c>
      <c r="M3200" t="s">
        <v>122</v>
      </c>
      <c r="N3200" t="s">
        <v>632</v>
      </c>
      <c r="O3200" t="s">
        <v>82</v>
      </c>
      <c r="P3200" t="str">
        <f>"4170066312                    "</f>
        <v xml:space="preserve">4170066312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22.36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70.959999999999994</v>
      </c>
      <c r="BM3200">
        <v>10.64</v>
      </c>
      <c r="BN3200">
        <v>81.599999999999994</v>
      </c>
      <c r="BO3200">
        <v>81.599999999999994</v>
      </c>
      <c r="BQ3200" t="s">
        <v>633</v>
      </c>
      <c r="BR3200" t="s">
        <v>97</v>
      </c>
      <c r="BS3200" s="3">
        <v>45958</v>
      </c>
      <c r="BT3200" s="4">
        <v>0.43055555555555558</v>
      </c>
      <c r="BU3200" t="s">
        <v>3298</v>
      </c>
      <c r="BV3200" t="s">
        <v>86</v>
      </c>
      <c r="BY3200">
        <v>1200</v>
      </c>
      <c r="CA3200" t="s">
        <v>635</v>
      </c>
      <c r="CC3200" t="s">
        <v>122</v>
      </c>
      <c r="CD3200">
        <v>4000</v>
      </c>
      <c r="CE3200" t="s">
        <v>147</v>
      </c>
      <c r="CF3200" s="3">
        <v>45959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"080011658976"</f>
        <v>080011658976</v>
      </c>
      <c r="F3201" s="3">
        <v>45957</v>
      </c>
      <c r="G3201">
        <v>202607</v>
      </c>
      <c r="H3201" t="s">
        <v>223</v>
      </c>
      <c r="I3201" t="s">
        <v>224</v>
      </c>
      <c r="J3201" t="s">
        <v>3473</v>
      </c>
      <c r="K3201" t="s">
        <v>78</v>
      </c>
      <c r="L3201" t="s">
        <v>79</v>
      </c>
      <c r="M3201" t="s">
        <v>80</v>
      </c>
      <c r="N3201" t="s">
        <v>81</v>
      </c>
      <c r="O3201" t="s">
        <v>82</v>
      </c>
      <c r="P3201" t="str">
        <f>"Za1001421364                  "</f>
        <v xml:space="preserve">Za1001421364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17.46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1.2</v>
      </c>
      <c r="BJ3201">
        <v>1.4</v>
      </c>
      <c r="BK3201">
        <v>2</v>
      </c>
      <c r="BL3201">
        <v>55.42</v>
      </c>
      <c r="BM3201">
        <v>8.31</v>
      </c>
      <c r="BN3201">
        <v>63.73</v>
      </c>
      <c r="BO3201">
        <v>63.73</v>
      </c>
      <c r="BQ3201" t="s">
        <v>83</v>
      </c>
      <c r="BR3201" t="s">
        <v>3474</v>
      </c>
      <c r="BS3201" s="3">
        <v>45958</v>
      </c>
      <c r="BT3201" s="4">
        <v>0.39374999999999999</v>
      </c>
      <c r="BU3201" t="s">
        <v>85</v>
      </c>
      <c r="BV3201" t="s">
        <v>86</v>
      </c>
      <c r="BY3201">
        <v>7120</v>
      </c>
      <c r="BZ3201" t="s">
        <v>87</v>
      </c>
      <c r="CA3201" t="s">
        <v>88</v>
      </c>
      <c r="CC3201" t="s">
        <v>80</v>
      </c>
      <c r="CD3201">
        <v>1619</v>
      </c>
      <c r="CE3201" t="s">
        <v>89</v>
      </c>
      <c r="CF3201" s="3">
        <v>45958</v>
      </c>
      <c r="CI3201">
        <v>1</v>
      </c>
      <c r="CJ3201">
        <v>1</v>
      </c>
      <c r="CK3201">
        <v>22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"080011659122"</f>
        <v>080011659122</v>
      </c>
      <c r="F3202" s="3">
        <v>45957</v>
      </c>
      <c r="G3202">
        <v>202607</v>
      </c>
      <c r="H3202" t="s">
        <v>108</v>
      </c>
      <c r="I3202" t="s">
        <v>109</v>
      </c>
      <c r="J3202" t="s">
        <v>714</v>
      </c>
      <c r="K3202" t="s">
        <v>78</v>
      </c>
      <c r="L3202" t="s">
        <v>79</v>
      </c>
      <c r="M3202" t="s">
        <v>80</v>
      </c>
      <c r="N3202" t="s">
        <v>81</v>
      </c>
      <c r="O3202" t="s">
        <v>82</v>
      </c>
      <c r="P3202" t="str">
        <f>"ZA1001421255                  "</f>
        <v xml:space="preserve">ZA1001421255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22.36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70.959999999999994</v>
      </c>
      <c r="BM3202">
        <v>10.64</v>
      </c>
      <c r="BN3202">
        <v>81.599999999999994</v>
      </c>
      <c r="BO3202">
        <v>81.599999999999994</v>
      </c>
      <c r="BQ3202" t="s">
        <v>83</v>
      </c>
      <c r="BR3202" t="s">
        <v>3475</v>
      </c>
      <c r="BS3202" s="3">
        <v>45958</v>
      </c>
      <c r="BT3202" s="4">
        <v>0.36666666666666664</v>
      </c>
      <c r="BU3202" t="s">
        <v>85</v>
      </c>
      <c r="BV3202" t="s">
        <v>86</v>
      </c>
      <c r="BY3202">
        <v>1200</v>
      </c>
      <c r="BZ3202" t="s">
        <v>87</v>
      </c>
      <c r="CA3202" t="s">
        <v>901</v>
      </c>
      <c r="CC3202" t="s">
        <v>80</v>
      </c>
      <c r="CD3202">
        <v>1619</v>
      </c>
      <c r="CE3202" t="s">
        <v>89</v>
      </c>
      <c r="CF3202" s="3">
        <v>45959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"080068763754"</f>
        <v>080068763754</v>
      </c>
      <c r="F3203" s="3">
        <v>45957</v>
      </c>
      <c r="G3203">
        <v>202607</v>
      </c>
      <c r="H3203" t="s">
        <v>79</v>
      </c>
      <c r="I3203" t="s">
        <v>80</v>
      </c>
      <c r="J3203" t="s">
        <v>91</v>
      </c>
      <c r="K3203" t="s">
        <v>78</v>
      </c>
      <c r="L3203" t="s">
        <v>79</v>
      </c>
      <c r="M3203" t="s">
        <v>80</v>
      </c>
      <c r="N3203" t="s">
        <v>2816</v>
      </c>
      <c r="O3203" t="s">
        <v>82</v>
      </c>
      <c r="P3203" t="str">
        <f>"4170066316                    "</f>
        <v xml:space="preserve">4170066316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17.46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55.42</v>
      </c>
      <c r="BM3203">
        <v>8.31</v>
      </c>
      <c r="BN3203">
        <v>63.73</v>
      </c>
      <c r="BO3203">
        <v>63.73</v>
      </c>
      <c r="BQ3203" t="s">
        <v>2817</v>
      </c>
      <c r="BR3203" t="s">
        <v>97</v>
      </c>
      <c r="BS3203" s="3">
        <v>45958</v>
      </c>
      <c r="BT3203" s="4">
        <v>0.29166666666666669</v>
      </c>
      <c r="BU3203" t="s">
        <v>1662</v>
      </c>
      <c r="BV3203" t="s">
        <v>86</v>
      </c>
      <c r="BY3203">
        <v>1200</v>
      </c>
      <c r="CA3203" t="s">
        <v>166</v>
      </c>
      <c r="CC3203" t="s">
        <v>80</v>
      </c>
      <c r="CD3203">
        <v>1600</v>
      </c>
      <c r="CE3203" t="s">
        <v>147</v>
      </c>
      <c r="CF3203" s="3">
        <v>45959</v>
      </c>
      <c r="CI3203">
        <v>1</v>
      </c>
      <c r="CJ3203">
        <v>1</v>
      </c>
      <c r="CK3203">
        <v>22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"080068763875"</f>
        <v>080068763875</v>
      </c>
      <c r="F3204" s="3">
        <v>45957</v>
      </c>
      <c r="G3204">
        <v>202607</v>
      </c>
      <c r="H3204" t="s">
        <v>79</v>
      </c>
      <c r="I3204" t="s">
        <v>80</v>
      </c>
      <c r="J3204" t="s">
        <v>91</v>
      </c>
      <c r="K3204" t="s">
        <v>78</v>
      </c>
      <c r="L3204" t="s">
        <v>350</v>
      </c>
      <c r="M3204" t="s">
        <v>351</v>
      </c>
      <c r="N3204" t="s">
        <v>352</v>
      </c>
      <c r="O3204" t="s">
        <v>82</v>
      </c>
      <c r="P3204" t="str">
        <f>"4170066323                    "</f>
        <v xml:space="preserve">4170066323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43.31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0.2</v>
      </c>
      <c r="BJ3204">
        <v>0.6</v>
      </c>
      <c r="BK3204">
        <v>1</v>
      </c>
      <c r="BL3204">
        <v>137.47</v>
      </c>
      <c r="BM3204">
        <v>20.62</v>
      </c>
      <c r="BN3204">
        <v>158.09</v>
      </c>
      <c r="BO3204">
        <v>158.09</v>
      </c>
      <c r="BQ3204" t="s">
        <v>353</v>
      </c>
      <c r="BR3204" t="s">
        <v>97</v>
      </c>
      <c r="BS3204" s="3">
        <v>45958</v>
      </c>
      <c r="BT3204" s="4">
        <v>0.40833333333333333</v>
      </c>
      <c r="BU3204" t="s">
        <v>2318</v>
      </c>
      <c r="BV3204" t="s">
        <v>86</v>
      </c>
      <c r="BY3204">
        <v>3043.25</v>
      </c>
      <c r="CA3204" t="s">
        <v>3476</v>
      </c>
      <c r="CC3204" t="s">
        <v>351</v>
      </c>
      <c r="CD3204" s="5" t="s">
        <v>356</v>
      </c>
      <c r="CE3204" t="s">
        <v>147</v>
      </c>
      <c r="CF3204" s="3">
        <v>45959</v>
      </c>
      <c r="CI3204">
        <v>1</v>
      </c>
      <c r="CJ3204">
        <v>1</v>
      </c>
      <c r="CK3204">
        <v>23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"080068763911"</f>
        <v>080068763911</v>
      </c>
      <c r="F3205" s="3">
        <v>45957</v>
      </c>
      <c r="G3205">
        <v>202607</v>
      </c>
      <c r="H3205" t="s">
        <v>79</v>
      </c>
      <c r="I3205" t="s">
        <v>80</v>
      </c>
      <c r="J3205" t="s">
        <v>91</v>
      </c>
      <c r="K3205" t="s">
        <v>78</v>
      </c>
      <c r="L3205" t="s">
        <v>206</v>
      </c>
      <c r="M3205" t="s">
        <v>207</v>
      </c>
      <c r="N3205" t="s">
        <v>412</v>
      </c>
      <c r="O3205" t="s">
        <v>82</v>
      </c>
      <c r="P3205" t="str">
        <f>"4170066300                    "</f>
        <v xml:space="preserve">4170066300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22.36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</v>
      </c>
      <c r="BJ3205">
        <v>1.1000000000000001</v>
      </c>
      <c r="BK3205">
        <v>2</v>
      </c>
      <c r="BL3205">
        <v>70.959999999999994</v>
      </c>
      <c r="BM3205">
        <v>10.64</v>
      </c>
      <c r="BN3205">
        <v>81.599999999999994</v>
      </c>
      <c r="BO3205">
        <v>81.599999999999994</v>
      </c>
      <c r="BQ3205" t="s">
        <v>413</v>
      </c>
      <c r="BR3205" t="s">
        <v>97</v>
      </c>
      <c r="BS3205" s="3">
        <v>45958</v>
      </c>
      <c r="BT3205" s="4">
        <v>0.40277777777777779</v>
      </c>
      <c r="BU3205" t="s">
        <v>3477</v>
      </c>
      <c r="BV3205" t="s">
        <v>86</v>
      </c>
      <c r="BY3205">
        <v>5510</v>
      </c>
      <c r="CA3205" t="s">
        <v>3478</v>
      </c>
      <c r="CC3205" t="s">
        <v>207</v>
      </c>
      <c r="CD3205">
        <v>7493</v>
      </c>
      <c r="CE3205" t="s">
        <v>191</v>
      </c>
      <c r="CF3205" s="3">
        <v>45959</v>
      </c>
      <c r="CI3205">
        <v>1</v>
      </c>
      <c r="CJ3205">
        <v>1</v>
      </c>
      <c r="CK3205">
        <v>21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"080068763935"</f>
        <v>080068763935</v>
      </c>
      <c r="F3206" s="3">
        <v>45957</v>
      </c>
      <c r="G3206">
        <v>202607</v>
      </c>
      <c r="H3206" t="s">
        <v>79</v>
      </c>
      <c r="I3206" t="s">
        <v>80</v>
      </c>
      <c r="J3206" t="s">
        <v>91</v>
      </c>
      <c r="K3206" t="s">
        <v>78</v>
      </c>
      <c r="L3206" t="s">
        <v>121</v>
      </c>
      <c r="M3206" t="s">
        <v>122</v>
      </c>
      <c r="N3206" t="s">
        <v>123</v>
      </c>
      <c r="O3206" t="s">
        <v>82</v>
      </c>
      <c r="P3206" t="str">
        <f>"4170066306                    "</f>
        <v xml:space="preserve">4170066306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22.36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70.959999999999994</v>
      </c>
      <c r="BM3206">
        <v>10.64</v>
      </c>
      <c r="BN3206">
        <v>81.599999999999994</v>
      </c>
      <c r="BO3206">
        <v>81.599999999999994</v>
      </c>
      <c r="BQ3206" t="s">
        <v>124</v>
      </c>
      <c r="BR3206" t="s">
        <v>97</v>
      </c>
      <c r="BS3206" s="3">
        <v>45958</v>
      </c>
      <c r="BT3206" s="4">
        <v>0.35625000000000001</v>
      </c>
      <c r="BU3206" t="s">
        <v>1611</v>
      </c>
      <c r="BV3206" t="s">
        <v>86</v>
      </c>
      <c r="BY3206">
        <v>1200</v>
      </c>
      <c r="CA3206" t="s">
        <v>126</v>
      </c>
      <c r="CC3206" t="s">
        <v>122</v>
      </c>
      <c r="CD3206">
        <v>4000</v>
      </c>
      <c r="CE3206" t="s">
        <v>147</v>
      </c>
      <c r="CF3206" s="3">
        <v>45959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"080068763967"</f>
        <v>080068763967</v>
      </c>
      <c r="F3207" s="3">
        <v>45957</v>
      </c>
      <c r="G3207">
        <v>202607</v>
      </c>
      <c r="H3207" t="s">
        <v>79</v>
      </c>
      <c r="I3207" t="s">
        <v>80</v>
      </c>
      <c r="J3207" t="s">
        <v>91</v>
      </c>
      <c r="K3207" t="s">
        <v>78</v>
      </c>
      <c r="L3207" t="s">
        <v>79</v>
      </c>
      <c r="M3207" t="s">
        <v>80</v>
      </c>
      <c r="N3207" t="s">
        <v>1040</v>
      </c>
      <c r="O3207" t="s">
        <v>82</v>
      </c>
      <c r="P3207" t="str">
        <f>"4170066315                    "</f>
        <v xml:space="preserve">4170066315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17.46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55.42</v>
      </c>
      <c r="BM3207">
        <v>8.31</v>
      </c>
      <c r="BN3207">
        <v>63.73</v>
      </c>
      <c r="BO3207">
        <v>63.73</v>
      </c>
      <c r="BQ3207" t="s">
        <v>1041</v>
      </c>
      <c r="BR3207" t="s">
        <v>97</v>
      </c>
      <c r="BS3207" s="3">
        <v>45958</v>
      </c>
      <c r="BT3207" s="4">
        <v>0.29166666666666669</v>
      </c>
      <c r="BU3207" t="s">
        <v>1662</v>
      </c>
      <c r="BV3207" t="s">
        <v>86</v>
      </c>
      <c r="BY3207">
        <v>1200</v>
      </c>
      <c r="CA3207" t="s">
        <v>166</v>
      </c>
      <c r="CC3207" t="s">
        <v>80</v>
      </c>
      <c r="CD3207">
        <v>1600</v>
      </c>
      <c r="CE3207" t="s">
        <v>147</v>
      </c>
      <c r="CF3207" s="3">
        <v>45959</v>
      </c>
      <c r="CI3207">
        <v>1</v>
      </c>
      <c r="CJ3207">
        <v>1</v>
      </c>
      <c r="CK3207">
        <v>22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"080068763973"</f>
        <v>080068763973</v>
      </c>
      <c r="F3208" s="3">
        <v>45957</v>
      </c>
      <c r="G3208">
        <v>202607</v>
      </c>
      <c r="H3208" t="s">
        <v>79</v>
      </c>
      <c r="I3208" t="s">
        <v>80</v>
      </c>
      <c r="J3208" t="s">
        <v>91</v>
      </c>
      <c r="K3208" t="s">
        <v>78</v>
      </c>
      <c r="L3208" t="s">
        <v>265</v>
      </c>
      <c r="M3208" t="s">
        <v>266</v>
      </c>
      <c r="N3208" t="s">
        <v>536</v>
      </c>
      <c r="O3208" t="s">
        <v>82</v>
      </c>
      <c r="P3208" t="str">
        <f>"4170066322                    "</f>
        <v xml:space="preserve">4170066322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22.36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0.2</v>
      </c>
      <c r="BJ3208">
        <v>0.8</v>
      </c>
      <c r="BK3208">
        <v>1</v>
      </c>
      <c r="BL3208">
        <v>70.959999999999994</v>
      </c>
      <c r="BM3208">
        <v>10.64</v>
      </c>
      <c r="BN3208">
        <v>81.599999999999994</v>
      </c>
      <c r="BO3208">
        <v>81.599999999999994</v>
      </c>
      <c r="BQ3208" t="s">
        <v>537</v>
      </c>
      <c r="BR3208" t="s">
        <v>97</v>
      </c>
      <c r="BS3208" s="3">
        <v>45958</v>
      </c>
      <c r="BT3208" s="4">
        <v>0.33541666666666664</v>
      </c>
      <c r="BU3208" t="s">
        <v>2930</v>
      </c>
      <c r="BV3208" t="s">
        <v>86</v>
      </c>
      <c r="BY3208">
        <v>4226.3900000000003</v>
      </c>
      <c r="CA3208" t="s">
        <v>818</v>
      </c>
      <c r="CC3208" t="s">
        <v>266</v>
      </c>
      <c r="CD3208">
        <v>6230</v>
      </c>
      <c r="CE3208" t="s">
        <v>147</v>
      </c>
      <c r="CF3208" s="3">
        <v>45958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"080068764014"</f>
        <v>080068764014</v>
      </c>
      <c r="F3209" s="3">
        <v>45957</v>
      </c>
      <c r="G3209">
        <v>202607</v>
      </c>
      <c r="H3209" t="s">
        <v>79</v>
      </c>
      <c r="I3209" t="s">
        <v>80</v>
      </c>
      <c r="J3209" t="s">
        <v>91</v>
      </c>
      <c r="K3209" t="s">
        <v>78</v>
      </c>
      <c r="L3209" t="s">
        <v>121</v>
      </c>
      <c r="M3209" t="s">
        <v>122</v>
      </c>
      <c r="N3209" t="s">
        <v>123</v>
      </c>
      <c r="O3209" t="s">
        <v>82</v>
      </c>
      <c r="P3209" t="str">
        <f>"4170066310                    "</f>
        <v xml:space="preserve">4170066310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22.36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0.2</v>
      </c>
      <c r="BJ3209">
        <v>0.4</v>
      </c>
      <c r="BK3209">
        <v>0.5</v>
      </c>
      <c r="BL3209">
        <v>70.959999999999994</v>
      </c>
      <c r="BM3209">
        <v>10.64</v>
      </c>
      <c r="BN3209">
        <v>81.599999999999994</v>
      </c>
      <c r="BO3209">
        <v>81.599999999999994</v>
      </c>
      <c r="BQ3209" t="s">
        <v>124</v>
      </c>
      <c r="BR3209" t="s">
        <v>97</v>
      </c>
      <c r="BS3209" s="3">
        <v>45958</v>
      </c>
      <c r="BT3209" s="4">
        <v>0.35625000000000001</v>
      </c>
      <c r="BU3209" t="s">
        <v>1611</v>
      </c>
      <c r="BV3209" t="s">
        <v>86</v>
      </c>
      <c r="BY3209">
        <v>1759.56</v>
      </c>
      <c r="CA3209" t="s">
        <v>126</v>
      </c>
      <c r="CC3209" t="s">
        <v>122</v>
      </c>
      <c r="CD3209">
        <v>4000</v>
      </c>
      <c r="CE3209" t="s">
        <v>147</v>
      </c>
      <c r="CF3209" s="3">
        <v>45959</v>
      </c>
      <c r="CI3209">
        <v>1</v>
      </c>
      <c r="CJ3209">
        <v>1</v>
      </c>
      <c r="CK3209">
        <v>21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"080068764019"</f>
        <v>080068764019</v>
      </c>
      <c r="F3210" s="3">
        <v>45957</v>
      </c>
      <c r="G3210">
        <v>202607</v>
      </c>
      <c r="H3210" t="s">
        <v>79</v>
      </c>
      <c r="I3210" t="s">
        <v>80</v>
      </c>
      <c r="J3210" t="s">
        <v>91</v>
      </c>
      <c r="K3210" t="s">
        <v>78</v>
      </c>
      <c r="L3210" t="s">
        <v>218</v>
      </c>
      <c r="M3210" t="s">
        <v>219</v>
      </c>
      <c r="N3210" t="s">
        <v>682</v>
      </c>
      <c r="O3210" t="s">
        <v>82</v>
      </c>
      <c r="P3210" t="str">
        <f>"4170066313                    "</f>
        <v xml:space="preserve">4170066313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17.46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55.42</v>
      </c>
      <c r="BM3210">
        <v>8.31</v>
      </c>
      <c r="BN3210">
        <v>63.73</v>
      </c>
      <c r="BO3210">
        <v>63.73</v>
      </c>
      <c r="BQ3210" t="s">
        <v>683</v>
      </c>
      <c r="BR3210" t="s">
        <v>97</v>
      </c>
      <c r="BS3210" s="3">
        <v>45958</v>
      </c>
      <c r="BT3210" s="4">
        <v>0.34930555555555554</v>
      </c>
      <c r="BU3210" t="s">
        <v>3479</v>
      </c>
      <c r="BV3210" t="s">
        <v>86</v>
      </c>
      <c r="BY3210">
        <v>1200</v>
      </c>
      <c r="CA3210" t="s">
        <v>1434</v>
      </c>
      <c r="CC3210" t="s">
        <v>219</v>
      </c>
      <c r="CD3210">
        <v>1559</v>
      </c>
      <c r="CE3210" t="s">
        <v>147</v>
      </c>
      <c r="CF3210" s="3">
        <v>45959</v>
      </c>
      <c r="CI3210">
        <v>1</v>
      </c>
      <c r="CJ3210">
        <v>1</v>
      </c>
      <c r="CK3210">
        <v>22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"080068764074"</f>
        <v>080068764074</v>
      </c>
      <c r="F3211" s="3">
        <v>45957</v>
      </c>
      <c r="G3211">
        <v>202607</v>
      </c>
      <c r="H3211" t="s">
        <v>79</v>
      </c>
      <c r="I3211" t="s">
        <v>80</v>
      </c>
      <c r="J3211" t="s">
        <v>91</v>
      </c>
      <c r="K3211" t="s">
        <v>78</v>
      </c>
      <c r="L3211" t="s">
        <v>206</v>
      </c>
      <c r="M3211" t="s">
        <v>207</v>
      </c>
      <c r="N3211" t="s">
        <v>208</v>
      </c>
      <c r="O3211" t="s">
        <v>82</v>
      </c>
      <c r="P3211" t="str">
        <f>"4170066317                    "</f>
        <v xml:space="preserve">4170066317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22.36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70.959999999999994</v>
      </c>
      <c r="BM3211">
        <v>10.64</v>
      </c>
      <c r="BN3211">
        <v>81.599999999999994</v>
      </c>
      <c r="BO3211">
        <v>81.599999999999994</v>
      </c>
      <c r="BQ3211" t="s">
        <v>209</v>
      </c>
      <c r="BR3211" t="s">
        <v>97</v>
      </c>
      <c r="BS3211" s="3">
        <v>45958</v>
      </c>
      <c r="BT3211" s="4">
        <v>0.41944444444444445</v>
      </c>
      <c r="BU3211" t="s">
        <v>3480</v>
      </c>
      <c r="BV3211" t="s">
        <v>86</v>
      </c>
      <c r="BY3211">
        <v>1200</v>
      </c>
      <c r="CA3211" t="s">
        <v>211</v>
      </c>
      <c r="CC3211" t="s">
        <v>207</v>
      </c>
      <c r="CD3211">
        <v>7441</v>
      </c>
      <c r="CE3211" t="s">
        <v>147</v>
      </c>
      <c r="CF3211" s="3">
        <v>45959</v>
      </c>
      <c r="CI3211">
        <v>1</v>
      </c>
      <c r="CJ3211">
        <v>1</v>
      </c>
      <c r="CK3211">
        <v>21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"080068764127"</f>
        <v>080068764127</v>
      </c>
      <c r="F3212" s="3">
        <v>45957</v>
      </c>
      <c r="G3212">
        <v>202607</v>
      </c>
      <c r="H3212" t="s">
        <v>79</v>
      </c>
      <c r="I3212" t="s">
        <v>80</v>
      </c>
      <c r="J3212" t="s">
        <v>91</v>
      </c>
      <c r="K3212" t="s">
        <v>78</v>
      </c>
      <c r="L3212" t="s">
        <v>108</v>
      </c>
      <c r="M3212" t="s">
        <v>109</v>
      </c>
      <c r="N3212" t="s">
        <v>548</v>
      </c>
      <c r="O3212" t="s">
        <v>82</v>
      </c>
      <c r="P3212" t="str">
        <f>"4170066308                    "</f>
        <v xml:space="preserve">4170066308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27.94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2.4</v>
      </c>
      <c r="BJ3212">
        <v>1.7</v>
      </c>
      <c r="BK3212">
        <v>2.5</v>
      </c>
      <c r="BL3212">
        <v>88.68</v>
      </c>
      <c r="BM3212">
        <v>13.3</v>
      </c>
      <c r="BN3212">
        <v>101.98</v>
      </c>
      <c r="BO3212">
        <v>101.98</v>
      </c>
      <c r="BQ3212" t="s">
        <v>549</v>
      </c>
      <c r="BR3212" t="s">
        <v>97</v>
      </c>
      <c r="BS3212" s="3">
        <v>45958</v>
      </c>
      <c r="BT3212" s="4">
        <v>0.3215277777777778</v>
      </c>
      <c r="BU3212" t="s">
        <v>1710</v>
      </c>
      <c r="BV3212" t="s">
        <v>86</v>
      </c>
      <c r="BY3212">
        <v>8251.2000000000007</v>
      </c>
      <c r="CA3212" t="s">
        <v>1090</v>
      </c>
      <c r="CC3212" t="s">
        <v>109</v>
      </c>
      <c r="CD3212">
        <v>6001</v>
      </c>
      <c r="CE3212" t="s">
        <v>191</v>
      </c>
      <c r="CF3212" s="3">
        <v>45958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"080068764196"</f>
        <v>080068764196</v>
      </c>
      <c r="F3213" s="3">
        <v>45957</v>
      </c>
      <c r="G3213">
        <v>202607</v>
      </c>
      <c r="H3213" t="s">
        <v>79</v>
      </c>
      <c r="I3213" t="s">
        <v>80</v>
      </c>
      <c r="J3213" t="s">
        <v>91</v>
      </c>
      <c r="K3213" t="s">
        <v>78</v>
      </c>
      <c r="L3213" t="s">
        <v>121</v>
      </c>
      <c r="M3213" t="s">
        <v>122</v>
      </c>
      <c r="N3213" t="s">
        <v>123</v>
      </c>
      <c r="O3213" t="s">
        <v>82</v>
      </c>
      <c r="P3213" t="str">
        <f>"4170066305                    "</f>
        <v xml:space="preserve">4170066305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22.36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0.7</v>
      </c>
      <c r="BK3213">
        <v>1</v>
      </c>
      <c r="BL3213">
        <v>70.959999999999994</v>
      </c>
      <c r="BM3213">
        <v>10.64</v>
      </c>
      <c r="BN3213">
        <v>81.599999999999994</v>
      </c>
      <c r="BO3213">
        <v>81.599999999999994</v>
      </c>
      <c r="BQ3213" t="s">
        <v>124</v>
      </c>
      <c r="BR3213" t="s">
        <v>97</v>
      </c>
      <c r="BS3213" s="3">
        <v>45958</v>
      </c>
      <c r="BT3213" s="4">
        <v>0.35625000000000001</v>
      </c>
      <c r="BU3213" t="s">
        <v>1611</v>
      </c>
      <c r="BV3213" t="s">
        <v>86</v>
      </c>
      <c r="BY3213">
        <v>3306</v>
      </c>
      <c r="CA3213" t="s">
        <v>126</v>
      </c>
      <c r="CC3213" t="s">
        <v>122</v>
      </c>
      <c r="CD3213">
        <v>4051</v>
      </c>
      <c r="CE3213" t="s">
        <v>191</v>
      </c>
      <c r="CF3213" s="3">
        <v>45959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"080068765278"</f>
        <v>080068765278</v>
      </c>
      <c r="F3214" s="3">
        <v>45957</v>
      </c>
      <c r="G3214">
        <v>202607</v>
      </c>
      <c r="H3214" t="s">
        <v>79</v>
      </c>
      <c r="I3214" t="s">
        <v>80</v>
      </c>
      <c r="J3214" t="s">
        <v>91</v>
      </c>
      <c r="K3214" t="s">
        <v>78</v>
      </c>
      <c r="L3214" t="s">
        <v>218</v>
      </c>
      <c r="M3214" t="s">
        <v>219</v>
      </c>
      <c r="N3214" t="s">
        <v>682</v>
      </c>
      <c r="O3214" t="s">
        <v>82</v>
      </c>
      <c r="P3214" t="str">
        <f>"4170066314                    "</f>
        <v xml:space="preserve">4170066314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17.46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0.2</v>
      </c>
      <c r="BJ3214">
        <v>2.8</v>
      </c>
      <c r="BK3214">
        <v>3</v>
      </c>
      <c r="BL3214">
        <v>55.42</v>
      </c>
      <c r="BM3214">
        <v>8.31</v>
      </c>
      <c r="BN3214">
        <v>63.73</v>
      </c>
      <c r="BO3214">
        <v>63.73</v>
      </c>
      <c r="BQ3214" t="s">
        <v>683</v>
      </c>
      <c r="BR3214" t="s">
        <v>97</v>
      </c>
      <c r="BS3214" s="3">
        <v>45958</v>
      </c>
      <c r="BT3214" s="4">
        <v>0.34930555555555554</v>
      </c>
      <c r="BU3214" t="s">
        <v>3479</v>
      </c>
      <c r="BV3214" t="s">
        <v>86</v>
      </c>
      <c r="BY3214">
        <v>14172.48</v>
      </c>
      <c r="CA3214" t="s">
        <v>1434</v>
      </c>
      <c r="CC3214" t="s">
        <v>219</v>
      </c>
      <c r="CD3214">
        <v>1559</v>
      </c>
      <c r="CE3214" t="s">
        <v>107</v>
      </c>
      <c r="CF3214" s="3">
        <v>45959</v>
      </c>
      <c r="CI3214">
        <v>1</v>
      </c>
      <c r="CJ3214">
        <v>1</v>
      </c>
      <c r="CK3214">
        <v>22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"080068765327"</f>
        <v>080068765327</v>
      </c>
      <c r="F3215" s="3">
        <v>45957</v>
      </c>
      <c r="G3215">
        <v>202607</v>
      </c>
      <c r="H3215" t="s">
        <v>79</v>
      </c>
      <c r="I3215" t="s">
        <v>80</v>
      </c>
      <c r="J3215" t="s">
        <v>91</v>
      </c>
      <c r="K3215" t="s">
        <v>78</v>
      </c>
      <c r="L3215" t="s">
        <v>108</v>
      </c>
      <c r="M3215" t="s">
        <v>109</v>
      </c>
      <c r="N3215" t="s">
        <v>365</v>
      </c>
      <c r="O3215" t="s">
        <v>82</v>
      </c>
      <c r="P3215" t="str">
        <f>"4170066319                    "</f>
        <v xml:space="preserve">4170066319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22.36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0.9</v>
      </c>
      <c r="BK3215">
        <v>1</v>
      </c>
      <c r="BL3215">
        <v>70.959999999999994</v>
      </c>
      <c r="BM3215">
        <v>10.64</v>
      </c>
      <c r="BN3215">
        <v>81.599999999999994</v>
      </c>
      <c r="BO3215">
        <v>81.599999999999994</v>
      </c>
      <c r="BQ3215" t="s">
        <v>366</v>
      </c>
      <c r="BR3215" t="s">
        <v>97</v>
      </c>
      <c r="BS3215" s="3">
        <v>45958</v>
      </c>
      <c r="BT3215" s="4">
        <v>0.4</v>
      </c>
      <c r="BU3215" t="s">
        <v>3413</v>
      </c>
      <c r="BV3215" t="s">
        <v>86</v>
      </c>
      <c r="BY3215">
        <v>4560</v>
      </c>
      <c r="CA3215" t="s">
        <v>1145</v>
      </c>
      <c r="CC3215" t="s">
        <v>109</v>
      </c>
      <c r="CD3215">
        <v>6056</v>
      </c>
      <c r="CE3215" t="s">
        <v>191</v>
      </c>
      <c r="CF3215" s="3">
        <v>45958</v>
      </c>
      <c r="CI3215">
        <v>1</v>
      </c>
      <c r="CJ3215">
        <v>1</v>
      </c>
      <c r="CK3215">
        <v>21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"080068767482"</f>
        <v>080068767482</v>
      </c>
      <c r="F3216" s="3">
        <v>45957</v>
      </c>
      <c r="G3216">
        <v>202607</v>
      </c>
      <c r="H3216" t="s">
        <v>79</v>
      </c>
      <c r="I3216" t="s">
        <v>80</v>
      </c>
      <c r="J3216" t="s">
        <v>91</v>
      </c>
      <c r="K3216" t="s">
        <v>78</v>
      </c>
      <c r="L3216" t="s">
        <v>350</v>
      </c>
      <c r="M3216" t="s">
        <v>351</v>
      </c>
      <c r="N3216" t="s">
        <v>352</v>
      </c>
      <c r="O3216" t="s">
        <v>82</v>
      </c>
      <c r="P3216" t="str">
        <f>"4170066326                    "</f>
        <v xml:space="preserve">4170066326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180.23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9</v>
      </c>
      <c r="BJ3216">
        <v>5.3</v>
      </c>
      <c r="BK3216">
        <v>9</v>
      </c>
      <c r="BL3216">
        <v>572.03</v>
      </c>
      <c r="BM3216">
        <v>85.8</v>
      </c>
      <c r="BN3216">
        <v>657.83</v>
      </c>
      <c r="BO3216">
        <v>657.83</v>
      </c>
      <c r="BQ3216" t="s">
        <v>353</v>
      </c>
      <c r="BR3216" t="s">
        <v>97</v>
      </c>
      <c r="BS3216" s="3">
        <v>45958</v>
      </c>
      <c r="BT3216" s="4">
        <v>0.40833333333333333</v>
      </c>
      <c r="BU3216" t="s">
        <v>2318</v>
      </c>
      <c r="BV3216" t="s">
        <v>86</v>
      </c>
      <c r="BY3216">
        <v>26308.799999999999</v>
      </c>
      <c r="CA3216" t="s">
        <v>3476</v>
      </c>
      <c r="CC3216" t="s">
        <v>351</v>
      </c>
      <c r="CD3216" s="5" t="s">
        <v>356</v>
      </c>
      <c r="CE3216" t="s">
        <v>191</v>
      </c>
      <c r="CF3216" s="3">
        <v>45959</v>
      </c>
      <c r="CI3216">
        <v>1</v>
      </c>
      <c r="CJ3216">
        <v>1</v>
      </c>
      <c r="CK3216">
        <v>23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"080068767536"</f>
        <v>080068767536</v>
      </c>
      <c r="F3217" s="3">
        <v>45957</v>
      </c>
      <c r="G3217">
        <v>202607</v>
      </c>
      <c r="H3217" t="s">
        <v>79</v>
      </c>
      <c r="I3217" t="s">
        <v>80</v>
      </c>
      <c r="J3217" t="s">
        <v>91</v>
      </c>
      <c r="K3217" t="s">
        <v>78</v>
      </c>
      <c r="L3217" t="s">
        <v>174</v>
      </c>
      <c r="M3217" t="s">
        <v>175</v>
      </c>
      <c r="N3217" t="s">
        <v>1468</v>
      </c>
      <c r="O3217" t="s">
        <v>82</v>
      </c>
      <c r="P3217" t="str">
        <f>"4170066327                    "</f>
        <v xml:space="preserve">4170066327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17.46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55.42</v>
      </c>
      <c r="BM3217">
        <v>8.31</v>
      </c>
      <c r="BN3217">
        <v>63.73</v>
      </c>
      <c r="BO3217">
        <v>63.73</v>
      </c>
      <c r="BQ3217" t="s">
        <v>1469</v>
      </c>
      <c r="BR3217" t="s">
        <v>97</v>
      </c>
      <c r="BS3217" s="3">
        <v>45959</v>
      </c>
      <c r="BT3217" s="4">
        <v>0.6333333333333333</v>
      </c>
      <c r="BU3217" t="s">
        <v>3481</v>
      </c>
      <c r="BV3217" t="s">
        <v>90</v>
      </c>
      <c r="BY3217">
        <v>1200</v>
      </c>
      <c r="CC3217" t="s">
        <v>175</v>
      </c>
      <c r="CD3217">
        <v>1554</v>
      </c>
      <c r="CE3217" t="s">
        <v>147</v>
      </c>
      <c r="CF3217" s="3">
        <v>45960</v>
      </c>
      <c r="CI3217">
        <v>1</v>
      </c>
      <c r="CJ3217">
        <v>2</v>
      </c>
      <c r="CK3217">
        <v>22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"R080068723112"</f>
        <v>R080068723112</v>
      </c>
      <c r="F3218" s="3">
        <v>45957</v>
      </c>
      <c r="G3218">
        <v>202607</v>
      </c>
      <c r="H3218" t="s">
        <v>959</v>
      </c>
      <c r="I3218" t="s">
        <v>960</v>
      </c>
      <c r="J3218" t="s">
        <v>961</v>
      </c>
      <c r="K3218" t="s">
        <v>78</v>
      </c>
      <c r="L3218" t="s">
        <v>79</v>
      </c>
      <c r="M3218" t="s">
        <v>80</v>
      </c>
      <c r="N3218" t="s">
        <v>91</v>
      </c>
      <c r="O3218" t="s">
        <v>95</v>
      </c>
      <c r="P3218" t="str">
        <f>"4170066031                    "</f>
        <v xml:space="preserve">4170066031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60.97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199.39</v>
      </c>
      <c r="BM3218">
        <v>29.91</v>
      </c>
      <c r="BN3218">
        <v>229.3</v>
      </c>
      <c r="BO3218">
        <v>229.3</v>
      </c>
      <c r="BQ3218" t="s">
        <v>97</v>
      </c>
      <c r="BR3218" t="s">
        <v>962</v>
      </c>
      <c r="BS3218" s="3">
        <v>45960</v>
      </c>
      <c r="BT3218" s="4">
        <v>0.39513888888888887</v>
      </c>
      <c r="BU3218" t="s">
        <v>3482</v>
      </c>
      <c r="BV3218" t="s">
        <v>86</v>
      </c>
      <c r="BY3218">
        <v>1200</v>
      </c>
      <c r="CA3218" t="s">
        <v>631</v>
      </c>
      <c r="CC3218" t="s">
        <v>80</v>
      </c>
      <c r="CD3218">
        <v>1601</v>
      </c>
      <c r="CE3218" t="s">
        <v>147</v>
      </c>
      <c r="CI3218">
        <v>3</v>
      </c>
      <c r="CJ3218">
        <v>3</v>
      </c>
      <c r="CK3218">
        <v>43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"080068768367"</f>
        <v>080068768367</v>
      </c>
      <c r="F3219" s="3">
        <v>45957</v>
      </c>
      <c r="G3219">
        <v>202607</v>
      </c>
      <c r="H3219" t="s">
        <v>79</v>
      </c>
      <c r="I3219" t="s">
        <v>80</v>
      </c>
      <c r="J3219" t="s">
        <v>91</v>
      </c>
      <c r="K3219" t="s">
        <v>78</v>
      </c>
      <c r="L3219" t="s">
        <v>1638</v>
      </c>
      <c r="M3219" t="s">
        <v>1639</v>
      </c>
      <c r="N3219" t="s">
        <v>3051</v>
      </c>
      <c r="O3219" t="s">
        <v>82</v>
      </c>
      <c r="P3219" t="str">
        <f>"4170066339                    "</f>
        <v xml:space="preserve">4170066339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72.650000000000006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3.2</v>
      </c>
      <c r="BJ3219">
        <v>2.1</v>
      </c>
      <c r="BK3219">
        <v>3.5</v>
      </c>
      <c r="BL3219">
        <v>230.59</v>
      </c>
      <c r="BM3219">
        <v>34.590000000000003</v>
      </c>
      <c r="BN3219">
        <v>265.18</v>
      </c>
      <c r="BO3219">
        <v>265.18</v>
      </c>
      <c r="BQ3219" t="s">
        <v>3052</v>
      </c>
      <c r="BR3219" t="s">
        <v>97</v>
      </c>
      <c r="BS3219" s="3">
        <v>45958</v>
      </c>
      <c r="BT3219" s="4">
        <v>0.68819444444444444</v>
      </c>
      <c r="BU3219" t="s">
        <v>3447</v>
      </c>
      <c r="BV3219" t="s">
        <v>86</v>
      </c>
      <c r="BY3219">
        <v>10474.200000000001</v>
      </c>
      <c r="CA3219" t="s">
        <v>3054</v>
      </c>
      <c r="CC3219" t="s">
        <v>1639</v>
      </c>
      <c r="CD3219">
        <v>1389</v>
      </c>
      <c r="CE3219" t="s">
        <v>107</v>
      </c>
      <c r="CF3219" s="3">
        <v>45959</v>
      </c>
      <c r="CI3219">
        <v>1</v>
      </c>
      <c r="CJ3219">
        <v>1</v>
      </c>
      <c r="CK3219">
        <v>23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"080068768402"</f>
        <v>080068768402</v>
      </c>
      <c r="F3220" s="3">
        <v>45957</v>
      </c>
      <c r="G3220">
        <v>202607</v>
      </c>
      <c r="H3220" t="s">
        <v>79</v>
      </c>
      <c r="I3220" t="s">
        <v>80</v>
      </c>
      <c r="J3220" t="s">
        <v>91</v>
      </c>
      <c r="K3220" t="s">
        <v>78</v>
      </c>
      <c r="L3220" t="s">
        <v>121</v>
      </c>
      <c r="M3220" t="s">
        <v>122</v>
      </c>
      <c r="N3220" t="s">
        <v>123</v>
      </c>
      <c r="O3220" t="s">
        <v>82</v>
      </c>
      <c r="P3220" t="str">
        <f>"4170066329                    "</f>
        <v xml:space="preserve">4170066329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22.36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1.1000000000000001</v>
      </c>
      <c r="BK3220">
        <v>2</v>
      </c>
      <c r="BL3220">
        <v>70.959999999999994</v>
      </c>
      <c r="BM3220">
        <v>10.64</v>
      </c>
      <c r="BN3220">
        <v>81.599999999999994</v>
      </c>
      <c r="BO3220">
        <v>81.599999999999994</v>
      </c>
      <c r="BQ3220" t="s">
        <v>124</v>
      </c>
      <c r="BR3220" t="s">
        <v>97</v>
      </c>
      <c r="BS3220" s="3">
        <v>45958</v>
      </c>
      <c r="BT3220" s="4">
        <v>0.35625000000000001</v>
      </c>
      <c r="BU3220" t="s">
        <v>1611</v>
      </c>
      <c r="BV3220" t="s">
        <v>86</v>
      </c>
      <c r="BY3220">
        <v>5472</v>
      </c>
      <c r="CA3220" t="s">
        <v>126</v>
      </c>
      <c r="CC3220" t="s">
        <v>122</v>
      </c>
      <c r="CD3220">
        <v>4051</v>
      </c>
      <c r="CE3220" t="s">
        <v>107</v>
      </c>
      <c r="CF3220" s="3">
        <v>45959</v>
      </c>
      <c r="CI3220">
        <v>1</v>
      </c>
      <c r="CJ3220">
        <v>1</v>
      </c>
      <c r="CK3220">
        <v>21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"080068768505"</f>
        <v>080068768505</v>
      </c>
      <c r="F3221" s="3">
        <v>45957</v>
      </c>
      <c r="G3221">
        <v>202607</v>
      </c>
      <c r="H3221" t="s">
        <v>79</v>
      </c>
      <c r="I3221" t="s">
        <v>80</v>
      </c>
      <c r="J3221" t="s">
        <v>91</v>
      </c>
      <c r="K3221" t="s">
        <v>78</v>
      </c>
      <c r="L3221" t="s">
        <v>959</v>
      </c>
      <c r="M3221" t="s">
        <v>960</v>
      </c>
      <c r="N3221" t="s">
        <v>961</v>
      </c>
      <c r="O3221" t="s">
        <v>82</v>
      </c>
      <c r="P3221" t="str">
        <f>"4170066031                    "</f>
        <v xml:space="preserve">4170066031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43.31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137.47</v>
      </c>
      <c r="BM3221">
        <v>20.62</v>
      </c>
      <c r="BN3221">
        <v>158.09</v>
      </c>
      <c r="BO3221">
        <v>158.09</v>
      </c>
      <c r="BQ3221" t="s">
        <v>962</v>
      </c>
      <c r="BR3221" t="s">
        <v>97</v>
      </c>
      <c r="BS3221" s="3">
        <v>45958</v>
      </c>
      <c r="BT3221" s="4">
        <v>0.375</v>
      </c>
      <c r="BU3221" t="s">
        <v>304</v>
      </c>
      <c r="BV3221" t="s">
        <v>86</v>
      </c>
      <c r="BY3221">
        <v>1200</v>
      </c>
      <c r="CA3221" t="s">
        <v>1125</v>
      </c>
      <c r="CC3221" t="s">
        <v>960</v>
      </c>
      <c r="CD3221">
        <v>6300</v>
      </c>
      <c r="CE3221" t="s">
        <v>147</v>
      </c>
      <c r="CF3221" s="3">
        <v>45958</v>
      </c>
      <c r="CI3221">
        <v>2</v>
      </c>
      <c r="CJ3221">
        <v>1</v>
      </c>
      <c r="CK3221">
        <v>23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"080068768508"</f>
        <v>080068768508</v>
      </c>
      <c r="F3222" s="3">
        <v>45957</v>
      </c>
      <c r="G3222">
        <v>202607</v>
      </c>
      <c r="H3222" t="s">
        <v>79</v>
      </c>
      <c r="I3222" t="s">
        <v>80</v>
      </c>
      <c r="J3222" t="s">
        <v>91</v>
      </c>
      <c r="K3222" t="s">
        <v>78</v>
      </c>
      <c r="L3222" t="s">
        <v>206</v>
      </c>
      <c r="M3222" t="s">
        <v>207</v>
      </c>
      <c r="N3222" t="s">
        <v>1200</v>
      </c>
      <c r="O3222" t="s">
        <v>82</v>
      </c>
      <c r="P3222" t="str">
        <f>"4170066338                    "</f>
        <v xml:space="preserve">4170066338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22.36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2</v>
      </c>
      <c r="BJ3222">
        <v>1.1000000000000001</v>
      </c>
      <c r="BK3222">
        <v>2</v>
      </c>
      <c r="BL3222">
        <v>70.959999999999994</v>
      </c>
      <c r="BM3222">
        <v>10.64</v>
      </c>
      <c r="BN3222">
        <v>81.599999999999994</v>
      </c>
      <c r="BO3222">
        <v>81.599999999999994</v>
      </c>
      <c r="BQ3222" t="s">
        <v>1201</v>
      </c>
      <c r="BR3222" t="s">
        <v>97</v>
      </c>
      <c r="BS3222" s="3">
        <v>45958</v>
      </c>
      <c r="BT3222" s="4">
        <v>0.41111111111111109</v>
      </c>
      <c r="BU3222" t="s">
        <v>1362</v>
      </c>
      <c r="BV3222" t="s">
        <v>86</v>
      </c>
      <c r="BY3222">
        <v>5712</v>
      </c>
      <c r="CA3222" t="s">
        <v>211</v>
      </c>
      <c r="CC3222" t="s">
        <v>207</v>
      </c>
      <c r="CD3222">
        <v>8001</v>
      </c>
      <c r="CE3222" t="s">
        <v>107</v>
      </c>
      <c r="CF3222" s="3">
        <v>45959</v>
      </c>
      <c r="CI3222">
        <v>1</v>
      </c>
      <c r="CJ3222">
        <v>1</v>
      </c>
      <c r="CK3222">
        <v>21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"080068768516"</f>
        <v>080068768516</v>
      </c>
      <c r="F3223" s="3">
        <v>45957</v>
      </c>
      <c r="G3223">
        <v>202607</v>
      </c>
      <c r="H3223" t="s">
        <v>79</v>
      </c>
      <c r="I3223" t="s">
        <v>80</v>
      </c>
      <c r="J3223" t="s">
        <v>91</v>
      </c>
      <c r="K3223" t="s">
        <v>78</v>
      </c>
      <c r="L3223" t="s">
        <v>79</v>
      </c>
      <c r="M3223" t="s">
        <v>80</v>
      </c>
      <c r="N3223" t="s">
        <v>539</v>
      </c>
      <c r="O3223" t="s">
        <v>82</v>
      </c>
      <c r="P3223" t="str">
        <f>"4170066334                    "</f>
        <v xml:space="preserve">4170066334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17.46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55.42</v>
      </c>
      <c r="BM3223">
        <v>8.31</v>
      </c>
      <c r="BN3223">
        <v>63.73</v>
      </c>
      <c r="BO3223">
        <v>63.73</v>
      </c>
      <c r="BQ3223" t="s">
        <v>540</v>
      </c>
      <c r="BR3223" t="s">
        <v>97</v>
      </c>
      <c r="BS3223" s="3">
        <v>45958</v>
      </c>
      <c r="BT3223" s="4">
        <v>0.47638888888888886</v>
      </c>
      <c r="BU3223" t="s">
        <v>541</v>
      </c>
      <c r="BV3223" t="s">
        <v>90</v>
      </c>
      <c r="BY3223">
        <v>1200</v>
      </c>
      <c r="CA3223" t="s">
        <v>1659</v>
      </c>
      <c r="CC3223" t="s">
        <v>80</v>
      </c>
      <c r="CD3223">
        <v>1614</v>
      </c>
      <c r="CE3223" t="s">
        <v>147</v>
      </c>
      <c r="CF3223" s="3">
        <v>45959</v>
      </c>
      <c r="CI3223">
        <v>1</v>
      </c>
      <c r="CJ3223">
        <v>1</v>
      </c>
      <c r="CK3223">
        <v>22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"080068768528"</f>
        <v>080068768528</v>
      </c>
      <c r="F3224" s="3">
        <v>45957</v>
      </c>
      <c r="G3224">
        <v>202607</v>
      </c>
      <c r="H3224" t="s">
        <v>79</v>
      </c>
      <c r="I3224" t="s">
        <v>80</v>
      </c>
      <c r="J3224" t="s">
        <v>91</v>
      </c>
      <c r="K3224" t="s">
        <v>78</v>
      </c>
      <c r="L3224" t="s">
        <v>206</v>
      </c>
      <c r="M3224" t="s">
        <v>207</v>
      </c>
      <c r="N3224" t="s">
        <v>208</v>
      </c>
      <c r="O3224" t="s">
        <v>82</v>
      </c>
      <c r="P3224" t="str">
        <f>"4170066335                    "</f>
        <v xml:space="preserve">4170066335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22.36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70.959999999999994</v>
      </c>
      <c r="BM3224">
        <v>10.64</v>
      </c>
      <c r="BN3224">
        <v>81.599999999999994</v>
      </c>
      <c r="BO3224">
        <v>81.599999999999994</v>
      </c>
      <c r="BQ3224" t="s">
        <v>209</v>
      </c>
      <c r="BR3224" t="s">
        <v>97</v>
      </c>
      <c r="BS3224" s="3">
        <v>45958</v>
      </c>
      <c r="BT3224" s="4">
        <v>0.41666666666666669</v>
      </c>
      <c r="BU3224" t="s">
        <v>3483</v>
      </c>
      <c r="BV3224" t="s">
        <v>86</v>
      </c>
      <c r="BY3224">
        <v>1200</v>
      </c>
      <c r="CC3224" t="s">
        <v>207</v>
      </c>
      <c r="CD3224">
        <v>7441</v>
      </c>
      <c r="CE3224" t="s">
        <v>147</v>
      </c>
      <c r="CF3224" s="3">
        <v>45959</v>
      </c>
      <c r="CI3224">
        <v>1</v>
      </c>
      <c r="CJ3224">
        <v>1</v>
      </c>
      <c r="CK3224">
        <v>21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"080068768529"</f>
        <v>080068768529</v>
      </c>
      <c r="F3225" s="3">
        <v>45957</v>
      </c>
      <c r="G3225">
        <v>202607</v>
      </c>
      <c r="H3225" t="s">
        <v>79</v>
      </c>
      <c r="I3225" t="s">
        <v>80</v>
      </c>
      <c r="J3225" t="s">
        <v>91</v>
      </c>
      <c r="K3225" t="s">
        <v>78</v>
      </c>
      <c r="L3225" t="s">
        <v>108</v>
      </c>
      <c r="M3225" t="s">
        <v>109</v>
      </c>
      <c r="N3225" t="s">
        <v>515</v>
      </c>
      <c r="O3225" t="s">
        <v>95</v>
      </c>
      <c r="P3225" t="str">
        <f>"4170066333                    "</f>
        <v xml:space="preserve">4170066333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43.23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12</v>
      </c>
      <c r="BJ3225">
        <v>5.4</v>
      </c>
      <c r="BK3225">
        <v>12</v>
      </c>
      <c r="BL3225">
        <v>143.08000000000001</v>
      </c>
      <c r="BM3225">
        <v>21.46</v>
      </c>
      <c r="BN3225">
        <v>164.54</v>
      </c>
      <c r="BO3225">
        <v>164.54</v>
      </c>
      <c r="BQ3225" t="s">
        <v>516</v>
      </c>
      <c r="BR3225" t="s">
        <v>97</v>
      </c>
      <c r="BS3225" t="s">
        <v>2659</v>
      </c>
      <c r="BY3225">
        <v>27144</v>
      </c>
      <c r="CC3225" t="s">
        <v>109</v>
      </c>
      <c r="CD3225">
        <v>6001</v>
      </c>
      <c r="CE3225" t="s">
        <v>2139</v>
      </c>
      <c r="CI3225">
        <v>3</v>
      </c>
      <c r="CJ3225" t="s">
        <v>2659</v>
      </c>
      <c r="CK3225">
        <v>41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"080068768741"</f>
        <v>080068768741</v>
      </c>
      <c r="F3226" s="3">
        <v>45957</v>
      </c>
      <c r="G3226">
        <v>202607</v>
      </c>
      <c r="H3226" t="s">
        <v>79</v>
      </c>
      <c r="I3226" t="s">
        <v>80</v>
      </c>
      <c r="J3226" t="s">
        <v>91</v>
      </c>
      <c r="K3226" t="s">
        <v>78</v>
      </c>
      <c r="L3226" t="s">
        <v>102</v>
      </c>
      <c r="M3226" t="s">
        <v>103</v>
      </c>
      <c r="N3226" t="s">
        <v>560</v>
      </c>
      <c r="O3226" t="s">
        <v>82</v>
      </c>
      <c r="P3226" t="str">
        <f>"4170066341                    "</f>
        <v xml:space="preserve">4170066341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17.46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</v>
      </c>
      <c r="BJ3226">
        <v>1.9</v>
      </c>
      <c r="BK3226">
        <v>3</v>
      </c>
      <c r="BL3226">
        <v>55.42</v>
      </c>
      <c r="BM3226">
        <v>8.31</v>
      </c>
      <c r="BN3226">
        <v>63.73</v>
      </c>
      <c r="BO3226">
        <v>63.73</v>
      </c>
      <c r="BQ3226" t="s">
        <v>561</v>
      </c>
      <c r="BR3226" t="s">
        <v>97</v>
      </c>
      <c r="BS3226" s="3">
        <v>45958</v>
      </c>
      <c r="BT3226" s="4">
        <v>0.40694444444444444</v>
      </c>
      <c r="BU3226" t="s">
        <v>1608</v>
      </c>
      <c r="BV3226" t="s">
        <v>86</v>
      </c>
      <c r="BY3226">
        <v>9576</v>
      </c>
      <c r="CA3226" t="s">
        <v>621</v>
      </c>
      <c r="CC3226" t="s">
        <v>103</v>
      </c>
      <c r="CD3226">
        <v>1451</v>
      </c>
      <c r="CE3226" t="s">
        <v>191</v>
      </c>
      <c r="CF3226" s="3">
        <v>45959</v>
      </c>
      <c r="CI3226">
        <v>1</v>
      </c>
      <c r="CJ3226">
        <v>1</v>
      </c>
      <c r="CK3226">
        <v>22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"080068768746"</f>
        <v>080068768746</v>
      </c>
      <c r="F3227" s="3">
        <v>45957</v>
      </c>
      <c r="G3227">
        <v>202607</v>
      </c>
      <c r="H3227" t="s">
        <v>79</v>
      </c>
      <c r="I3227" t="s">
        <v>80</v>
      </c>
      <c r="J3227" t="s">
        <v>91</v>
      </c>
      <c r="K3227" t="s">
        <v>78</v>
      </c>
      <c r="L3227" t="s">
        <v>195</v>
      </c>
      <c r="M3227" t="s">
        <v>196</v>
      </c>
      <c r="N3227" t="s">
        <v>197</v>
      </c>
      <c r="O3227" t="s">
        <v>226</v>
      </c>
      <c r="P3227" t="str">
        <f>"4170066340                    "</f>
        <v xml:space="preserve">4170066340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111.43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2</v>
      </c>
      <c r="BI3227">
        <v>5</v>
      </c>
      <c r="BJ3227">
        <v>4.5</v>
      </c>
      <c r="BK3227">
        <v>5</v>
      </c>
      <c r="BL3227">
        <v>353.67</v>
      </c>
      <c r="BM3227">
        <v>53.05</v>
      </c>
      <c r="BN3227">
        <v>406.72</v>
      </c>
      <c r="BO3227">
        <v>406.72</v>
      </c>
      <c r="BQ3227" t="s">
        <v>198</v>
      </c>
      <c r="BR3227" t="s">
        <v>97</v>
      </c>
      <c r="BS3227" s="3">
        <v>45958</v>
      </c>
      <c r="BT3227" s="4">
        <v>0.50486111111111109</v>
      </c>
      <c r="BU3227" t="s">
        <v>1430</v>
      </c>
      <c r="BV3227" t="s">
        <v>86</v>
      </c>
      <c r="BY3227">
        <v>22640</v>
      </c>
      <c r="CA3227" t="s">
        <v>200</v>
      </c>
      <c r="CC3227" t="s">
        <v>196</v>
      </c>
      <c r="CD3227">
        <v>1900</v>
      </c>
      <c r="CE3227" t="s">
        <v>107</v>
      </c>
      <c r="CF3227" s="3">
        <v>45959</v>
      </c>
      <c r="CI3227">
        <v>1</v>
      </c>
      <c r="CJ3227">
        <v>1</v>
      </c>
      <c r="CK3227">
        <v>33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"080068768780"</f>
        <v>080068768780</v>
      </c>
      <c r="F3228" s="3">
        <v>45957</v>
      </c>
      <c r="G3228">
        <v>202607</v>
      </c>
      <c r="H3228" t="s">
        <v>79</v>
      </c>
      <c r="I3228" t="s">
        <v>80</v>
      </c>
      <c r="J3228" t="s">
        <v>91</v>
      </c>
      <c r="K3228" t="s">
        <v>78</v>
      </c>
      <c r="L3228" t="s">
        <v>223</v>
      </c>
      <c r="M3228" t="s">
        <v>224</v>
      </c>
      <c r="N3228" t="s">
        <v>1464</v>
      </c>
      <c r="O3228" t="s">
        <v>82</v>
      </c>
      <c r="P3228" t="str">
        <f>"4170066337                    "</f>
        <v xml:space="preserve">4170066337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17.46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3</v>
      </c>
      <c r="BJ3228">
        <v>2</v>
      </c>
      <c r="BK3228">
        <v>3</v>
      </c>
      <c r="BL3228">
        <v>55.42</v>
      </c>
      <c r="BM3228">
        <v>8.31</v>
      </c>
      <c r="BN3228">
        <v>63.73</v>
      </c>
      <c r="BO3228">
        <v>63.73</v>
      </c>
      <c r="BQ3228" t="s">
        <v>1465</v>
      </c>
      <c r="BR3228" t="s">
        <v>97</v>
      </c>
      <c r="BS3228" s="3">
        <v>45958</v>
      </c>
      <c r="BT3228" s="4">
        <v>0.4236111111111111</v>
      </c>
      <c r="BU3228" t="s">
        <v>2518</v>
      </c>
      <c r="BV3228" t="s">
        <v>86</v>
      </c>
      <c r="BY3228">
        <v>9900</v>
      </c>
      <c r="CA3228" t="s">
        <v>1110</v>
      </c>
      <c r="CC3228" t="s">
        <v>224</v>
      </c>
      <c r="CD3228">
        <v>1459</v>
      </c>
      <c r="CE3228" t="s">
        <v>191</v>
      </c>
      <c r="CF3228" s="3">
        <v>45959</v>
      </c>
      <c r="CI3228">
        <v>1</v>
      </c>
      <c r="CJ3228">
        <v>1</v>
      </c>
      <c r="CK3228">
        <v>22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"080068768798"</f>
        <v>080068768798</v>
      </c>
      <c r="F3229" s="3">
        <v>45957</v>
      </c>
      <c r="G3229">
        <v>202607</v>
      </c>
      <c r="H3229" t="s">
        <v>79</v>
      </c>
      <c r="I3229" t="s">
        <v>80</v>
      </c>
      <c r="J3229" t="s">
        <v>91</v>
      </c>
      <c r="K3229" t="s">
        <v>78</v>
      </c>
      <c r="L3229" t="s">
        <v>788</v>
      </c>
      <c r="M3229" t="s">
        <v>789</v>
      </c>
      <c r="N3229" t="s">
        <v>790</v>
      </c>
      <c r="O3229" t="s">
        <v>82</v>
      </c>
      <c r="P3229" t="str">
        <f>"4170066330                    "</f>
        <v xml:space="preserve">4170066330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101.99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5</v>
      </c>
      <c r="BJ3229">
        <v>4.5999999999999996</v>
      </c>
      <c r="BK3229">
        <v>5</v>
      </c>
      <c r="BL3229">
        <v>323.70999999999998</v>
      </c>
      <c r="BM3229">
        <v>48.56</v>
      </c>
      <c r="BN3229">
        <v>372.27</v>
      </c>
      <c r="BO3229">
        <v>372.27</v>
      </c>
      <c r="BQ3229" t="s">
        <v>791</v>
      </c>
      <c r="BR3229" t="s">
        <v>97</v>
      </c>
      <c r="BS3229" s="3">
        <v>45958</v>
      </c>
      <c r="BT3229" s="4">
        <v>0.74930555555555556</v>
      </c>
      <c r="BU3229" t="s">
        <v>2167</v>
      </c>
      <c r="BV3229" t="s">
        <v>90</v>
      </c>
      <c r="BY3229">
        <v>23040</v>
      </c>
      <c r="CA3229" t="s">
        <v>146</v>
      </c>
      <c r="CC3229" t="s">
        <v>789</v>
      </c>
      <c r="CD3229">
        <v>3290</v>
      </c>
      <c r="CE3229" t="s">
        <v>107</v>
      </c>
      <c r="CF3229" s="3">
        <v>45959</v>
      </c>
      <c r="CI3229">
        <v>1</v>
      </c>
      <c r="CJ3229">
        <v>1</v>
      </c>
      <c r="CK3229">
        <v>23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"080068768863"</f>
        <v>080068768863</v>
      </c>
      <c r="F3230" s="3">
        <v>45957</v>
      </c>
      <c r="G3230">
        <v>202607</v>
      </c>
      <c r="H3230" t="s">
        <v>79</v>
      </c>
      <c r="I3230" t="s">
        <v>80</v>
      </c>
      <c r="J3230" t="s">
        <v>91</v>
      </c>
      <c r="K3230" t="s">
        <v>78</v>
      </c>
      <c r="L3230" t="s">
        <v>114</v>
      </c>
      <c r="M3230" t="s">
        <v>115</v>
      </c>
      <c r="N3230" t="s">
        <v>746</v>
      </c>
      <c r="O3230" t="s">
        <v>82</v>
      </c>
      <c r="P3230" t="str">
        <f>"4170066332                    "</f>
        <v xml:space="preserve">4170066332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22.36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70.959999999999994</v>
      </c>
      <c r="BM3230">
        <v>10.64</v>
      </c>
      <c r="BN3230">
        <v>81.599999999999994</v>
      </c>
      <c r="BO3230">
        <v>81.599999999999994</v>
      </c>
      <c r="BQ3230" t="s">
        <v>747</v>
      </c>
      <c r="BR3230" t="s">
        <v>97</v>
      </c>
      <c r="BS3230" s="3">
        <v>45958</v>
      </c>
      <c r="BT3230" s="4">
        <v>0.46597222222222223</v>
      </c>
      <c r="BU3230" t="s">
        <v>3484</v>
      </c>
      <c r="BV3230" t="s">
        <v>90</v>
      </c>
      <c r="BY3230">
        <v>1200</v>
      </c>
      <c r="CA3230" t="s">
        <v>3092</v>
      </c>
      <c r="CC3230" t="s">
        <v>115</v>
      </c>
      <c r="CD3230">
        <v>5200</v>
      </c>
      <c r="CE3230" t="s">
        <v>147</v>
      </c>
      <c r="CF3230" s="3">
        <v>45959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"080068769007"</f>
        <v>080068769007</v>
      </c>
      <c r="F3231" s="3">
        <v>45957</v>
      </c>
      <c r="G3231">
        <v>202607</v>
      </c>
      <c r="H3231" t="s">
        <v>79</v>
      </c>
      <c r="I3231" t="s">
        <v>80</v>
      </c>
      <c r="J3231" t="s">
        <v>91</v>
      </c>
      <c r="K3231" t="s">
        <v>78</v>
      </c>
      <c r="L3231" t="s">
        <v>1765</v>
      </c>
      <c r="M3231" t="s">
        <v>1766</v>
      </c>
      <c r="N3231" t="s">
        <v>3485</v>
      </c>
      <c r="O3231" t="s">
        <v>82</v>
      </c>
      <c r="P3231" t="str">
        <f>"4170066344                    "</f>
        <v xml:space="preserve">4170066344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53.09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2.5</v>
      </c>
      <c r="BJ3231">
        <v>1.9</v>
      </c>
      <c r="BK3231">
        <v>2.5</v>
      </c>
      <c r="BL3231">
        <v>168.51</v>
      </c>
      <c r="BM3231">
        <v>25.28</v>
      </c>
      <c r="BN3231">
        <v>193.79</v>
      </c>
      <c r="BO3231">
        <v>193.79</v>
      </c>
      <c r="BQ3231" t="s">
        <v>3486</v>
      </c>
      <c r="BR3231" t="s">
        <v>97</v>
      </c>
      <c r="BS3231" s="3">
        <v>45958</v>
      </c>
      <c r="BT3231" s="4">
        <v>0.69444444444444442</v>
      </c>
      <c r="BU3231" t="s">
        <v>3487</v>
      </c>
      <c r="BV3231" t="s">
        <v>90</v>
      </c>
      <c r="BY3231">
        <v>9437.34</v>
      </c>
      <c r="CA3231" t="s">
        <v>3488</v>
      </c>
      <c r="CC3231" t="s">
        <v>1766</v>
      </c>
      <c r="CD3231">
        <v>1039</v>
      </c>
      <c r="CE3231" t="s">
        <v>191</v>
      </c>
      <c r="CF3231" s="3">
        <v>45959</v>
      </c>
      <c r="CI3231">
        <v>1</v>
      </c>
      <c r="CJ3231">
        <v>1</v>
      </c>
      <c r="CK3231">
        <v>23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"080068769017"</f>
        <v>080068769017</v>
      </c>
      <c r="F3232" s="3">
        <v>45957</v>
      </c>
      <c r="G3232">
        <v>202607</v>
      </c>
      <c r="H3232" t="s">
        <v>79</v>
      </c>
      <c r="I3232" t="s">
        <v>80</v>
      </c>
      <c r="J3232" t="s">
        <v>91</v>
      </c>
      <c r="K3232" t="s">
        <v>78</v>
      </c>
      <c r="L3232" t="s">
        <v>148</v>
      </c>
      <c r="M3232" t="s">
        <v>149</v>
      </c>
      <c r="N3232" t="s">
        <v>3489</v>
      </c>
      <c r="O3232" t="s">
        <v>82</v>
      </c>
      <c r="P3232" t="str">
        <f>"4170065936                    "</f>
        <v xml:space="preserve">4170065936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17.46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2</v>
      </c>
      <c r="BJ3232">
        <v>0.9</v>
      </c>
      <c r="BK3232">
        <v>2</v>
      </c>
      <c r="BL3232">
        <v>55.42</v>
      </c>
      <c r="BM3232">
        <v>8.31</v>
      </c>
      <c r="BN3232">
        <v>63.73</v>
      </c>
      <c r="BO3232">
        <v>63.73</v>
      </c>
      <c r="BQ3232" t="s">
        <v>3490</v>
      </c>
      <c r="BR3232" t="s">
        <v>97</v>
      </c>
      <c r="BS3232" s="3">
        <v>45958</v>
      </c>
      <c r="BT3232" s="4">
        <v>0.43125000000000002</v>
      </c>
      <c r="BU3232" t="s">
        <v>3491</v>
      </c>
      <c r="BV3232" t="s">
        <v>86</v>
      </c>
      <c r="BY3232">
        <v>4275</v>
      </c>
      <c r="CA3232" t="s">
        <v>3492</v>
      </c>
      <c r="CC3232" t="s">
        <v>149</v>
      </c>
      <c r="CD3232">
        <v>2139</v>
      </c>
      <c r="CE3232" t="s">
        <v>191</v>
      </c>
      <c r="CF3232" s="3">
        <v>45959</v>
      </c>
      <c r="CI3232">
        <v>1</v>
      </c>
      <c r="CJ3232">
        <v>1</v>
      </c>
      <c r="CK3232">
        <v>22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"080068769042"</f>
        <v>080068769042</v>
      </c>
      <c r="F3233" s="3">
        <v>45957</v>
      </c>
      <c r="G3233">
        <v>202607</v>
      </c>
      <c r="H3233" t="s">
        <v>79</v>
      </c>
      <c r="I3233" t="s">
        <v>80</v>
      </c>
      <c r="J3233" t="s">
        <v>91</v>
      </c>
      <c r="K3233" t="s">
        <v>78</v>
      </c>
      <c r="L3233" t="s">
        <v>108</v>
      </c>
      <c r="M3233" t="s">
        <v>109</v>
      </c>
      <c r="N3233" t="s">
        <v>440</v>
      </c>
      <c r="O3233" t="s">
        <v>82</v>
      </c>
      <c r="P3233" t="str">
        <f>"4170066343                    "</f>
        <v xml:space="preserve">4170066343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22.36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70.959999999999994</v>
      </c>
      <c r="BM3233">
        <v>10.64</v>
      </c>
      <c r="BN3233">
        <v>81.599999999999994</v>
      </c>
      <c r="BO3233">
        <v>81.599999999999994</v>
      </c>
      <c r="BQ3233" t="s">
        <v>441</v>
      </c>
      <c r="BR3233" t="s">
        <v>97</v>
      </c>
      <c r="BS3233" s="3">
        <v>45958</v>
      </c>
      <c r="BT3233" s="4">
        <v>0.41805555555555557</v>
      </c>
      <c r="BU3233" t="s">
        <v>3493</v>
      </c>
      <c r="BV3233" t="s">
        <v>86</v>
      </c>
      <c r="BY3233">
        <v>1200</v>
      </c>
      <c r="CA3233" t="s">
        <v>762</v>
      </c>
      <c r="CC3233" t="s">
        <v>109</v>
      </c>
      <c r="CD3233">
        <v>6001</v>
      </c>
      <c r="CE3233" t="s">
        <v>147</v>
      </c>
      <c r="CF3233" s="3">
        <v>45958</v>
      </c>
      <c r="CI3233">
        <v>1</v>
      </c>
      <c r="CJ3233">
        <v>1</v>
      </c>
      <c r="CK3233">
        <v>21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"080068769267"</f>
        <v>080068769267</v>
      </c>
      <c r="F3234" s="3">
        <v>45957</v>
      </c>
      <c r="G3234">
        <v>202607</v>
      </c>
      <c r="H3234" t="s">
        <v>79</v>
      </c>
      <c r="I3234" t="s">
        <v>80</v>
      </c>
      <c r="J3234" t="s">
        <v>91</v>
      </c>
      <c r="K3234" t="s">
        <v>78</v>
      </c>
      <c r="L3234" t="s">
        <v>605</v>
      </c>
      <c r="M3234" t="s">
        <v>606</v>
      </c>
      <c r="N3234" t="s">
        <v>2098</v>
      </c>
      <c r="O3234" t="s">
        <v>82</v>
      </c>
      <c r="P3234" t="str">
        <f>"4170066294                    "</f>
        <v xml:space="preserve">4170066294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43.31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0.9</v>
      </c>
      <c r="BK3234">
        <v>1</v>
      </c>
      <c r="BL3234">
        <v>137.47</v>
      </c>
      <c r="BM3234">
        <v>20.62</v>
      </c>
      <c r="BN3234">
        <v>158.09</v>
      </c>
      <c r="BO3234">
        <v>158.09</v>
      </c>
      <c r="BQ3234" t="s">
        <v>2099</v>
      </c>
      <c r="BR3234" t="s">
        <v>97</v>
      </c>
      <c r="BS3234" s="3">
        <v>45958</v>
      </c>
      <c r="BT3234" s="4">
        <v>0.4284722222222222</v>
      </c>
      <c r="BU3234" t="s">
        <v>3494</v>
      </c>
      <c r="BV3234" t="s">
        <v>86</v>
      </c>
      <c r="BY3234">
        <v>4560</v>
      </c>
      <c r="CA3234" t="s">
        <v>1143</v>
      </c>
      <c r="CC3234" t="s">
        <v>606</v>
      </c>
      <c r="CD3234">
        <v>1947</v>
      </c>
      <c r="CE3234" t="s">
        <v>191</v>
      </c>
      <c r="CF3234" s="3">
        <v>45959</v>
      </c>
      <c r="CI3234">
        <v>1</v>
      </c>
      <c r="CJ3234">
        <v>1</v>
      </c>
      <c r="CK3234">
        <v>23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"080068769299"</f>
        <v>080068769299</v>
      </c>
      <c r="F3235" s="3">
        <v>45957</v>
      </c>
      <c r="G3235">
        <v>202607</v>
      </c>
      <c r="H3235" t="s">
        <v>79</v>
      </c>
      <c r="I3235" t="s">
        <v>80</v>
      </c>
      <c r="J3235" t="s">
        <v>91</v>
      </c>
      <c r="K3235" t="s">
        <v>78</v>
      </c>
      <c r="L3235" t="s">
        <v>469</v>
      </c>
      <c r="M3235" t="s">
        <v>470</v>
      </c>
      <c r="N3235" t="s">
        <v>471</v>
      </c>
      <c r="O3235" t="s">
        <v>95</v>
      </c>
      <c r="P3235" t="str">
        <f>"4170066252                    "</f>
        <v xml:space="preserve">4170066252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60.97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8.9</v>
      </c>
      <c r="BJ3235">
        <v>5.5</v>
      </c>
      <c r="BK3235">
        <v>9</v>
      </c>
      <c r="BL3235">
        <v>199.39</v>
      </c>
      <c r="BM3235">
        <v>29.91</v>
      </c>
      <c r="BN3235">
        <v>229.3</v>
      </c>
      <c r="BO3235">
        <v>229.3</v>
      </c>
      <c r="BQ3235" t="s">
        <v>1724</v>
      </c>
      <c r="BR3235" t="s">
        <v>97</v>
      </c>
      <c r="BS3235" s="3">
        <v>45959</v>
      </c>
      <c r="BT3235" s="4">
        <v>0.50763888888888886</v>
      </c>
      <c r="BU3235" t="s">
        <v>2488</v>
      </c>
      <c r="BV3235" t="s">
        <v>86</v>
      </c>
      <c r="BY3235">
        <v>27303.71</v>
      </c>
      <c r="CA3235" t="s">
        <v>474</v>
      </c>
      <c r="CC3235" t="s">
        <v>470</v>
      </c>
      <c r="CD3235">
        <v>7300</v>
      </c>
      <c r="CE3235" t="s">
        <v>931</v>
      </c>
      <c r="CF3235" s="3">
        <v>45960</v>
      </c>
      <c r="CI3235">
        <v>3</v>
      </c>
      <c r="CJ3235">
        <v>2</v>
      </c>
      <c r="CK3235">
        <v>43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"080068769340"</f>
        <v>080068769340</v>
      </c>
      <c r="F3236" s="3">
        <v>45957</v>
      </c>
      <c r="G3236">
        <v>202607</v>
      </c>
      <c r="H3236" t="s">
        <v>79</v>
      </c>
      <c r="I3236" t="s">
        <v>80</v>
      </c>
      <c r="J3236" t="s">
        <v>91</v>
      </c>
      <c r="K3236" t="s">
        <v>78</v>
      </c>
      <c r="L3236" t="s">
        <v>350</v>
      </c>
      <c r="M3236" t="s">
        <v>351</v>
      </c>
      <c r="N3236" t="s">
        <v>2636</v>
      </c>
      <c r="O3236" t="s">
        <v>82</v>
      </c>
      <c r="P3236" t="str">
        <f>"4170066331                    "</f>
        <v xml:space="preserve">4170066331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43.31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0.2</v>
      </c>
      <c r="BJ3236">
        <v>0.6</v>
      </c>
      <c r="BK3236">
        <v>1</v>
      </c>
      <c r="BL3236">
        <v>137.47</v>
      </c>
      <c r="BM3236">
        <v>20.62</v>
      </c>
      <c r="BN3236">
        <v>158.09</v>
      </c>
      <c r="BO3236">
        <v>158.09</v>
      </c>
      <c r="BQ3236" t="s">
        <v>2637</v>
      </c>
      <c r="BR3236" t="s">
        <v>97</v>
      </c>
      <c r="BS3236" s="3">
        <v>45959</v>
      </c>
      <c r="BT3236" s="4">
        <v>0.41875000000000001</v>
      </c>
      <c r="BU3236" t="s">
        <v>3495</v>
      </c>
      <c r="BV3236" t="s">
        <v>90</v>
      </c>
      <c r="BY3236">
        <v>3201.5</v>
      </c>
      <c r="CA3236" t="s">
        <v>3496</v>
      </c>
      <c r="CC3236" t="s">
        <v>351</v>
      </c>
      <c r="CD3236" s="5" t="s">
        <v>356</v>
      </c>
      <c r="CE3236" t="s">
        <v>107</v>
      </c>
      <c r="CF3236" s="3">
        <v>45960</v>
      </c>
      <c r="CI3236">
        <v>1</v>
      </c>
      <c r="CJ3236">
        <v>2</v>
      </c>
      <c r="CK3236">
        <v>23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"080068769373"</f>
        <v>080068769373</v>
      </c>
      <c r="F3237" s="3">
        <v>45957</v>
      </c>
      <c r="G3237">
        <v>202607</v>
      </c>
      <c r="H3237" t="s">
        <v>79</v>
      </c>
      <c r="I3237" t="s">
        <v>80</v>
      </c>
      <c r="J3237" t="s">
        <v>91</v>
      </c>
      <c r="K3237" t="s">
        <v>78</v>
      </c>
      <c r="L3237" t="s">
        <v>350</v>
      </c>
      <c r="M3237" t="s">
        <v>351</v>
      </c>
      <c r="N3237" t="s">
        <v>2636</v>
      </c>
      <c r="O3237" t="s">
        <v>82</v>
      </c>
      <c r="P3237" t="str">
        <f>"4170066102                    "</f>
        <v xml:space="preserve">4170066102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131.33000000000001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6.4</v>
      </c>
      <c r="BJ3237">
        <v>2.2999999999999998</v>
      </c>
      <c r="BK3237">
        <v>6.5</v>
      </c>
      <c r="BL3237">
        <v>416.83</v>
      </c>
      <c r="BM3237">
        <v>62.52</v>
      </c>
      <c r="BN3237">
        <v>479.35</v>
      </c>
      <c r="BO3237">
        <v>479.35</v>
      </c>
      <c r="BQ3237" t="s">
        <v>2637</v>
      </c>
      <c r="BR3237" t="s">
        <v>97</v>
      </c>
      <c r="BS3237" s="3">
        <v>45959</v>
      </c>
      <c r="BT3237" s="4">
        <v>0.41805555555555557</v>
      </c>
      <c r="BU3237" t="s">
        <v>3495</v>
      </c>
      <c r="BV3237" t="s">
        <v>90</v>
      </c>
      <c r="BY3237">
        <v>11615.59</v>
      </c>
      <c r="CA3237" t="s">
        <v>3496</v>
      </c>
      <c r="CC3237" t="s">
        <v>351</v>
      </c>
      <c r="CD3237" s="5" t="s">
        <v>356</v>
      </c>
      <c r="CE3237" t="s">
        <v>107</v>
      </c>
      <c r="CF3237" s="3">
        <v>45960</v>
      </c>
      <c r="CI3237">
        <v>1</v>
      </c>
      <c r="CJ3237">
        <v>2</v>
      </c>
      <c r="CK3237">
        <v>23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"080068781257"</f>
        <v>080068781257</v>
      </c>
      <c r="F3238" s="3">
        <v>45958</v>
      </c>
      <c r="G3238">
        <v>202607</v>
      </c>
      <c r="H3238" t="s">
        <v>79</v>
      </c>
      <c r="I3238" t="s">
        <v>80</v>
      </c>
      <c r="J3238" t="s">
        <v>91</v>
      </c>
      <c r="K3238" t="s">
        <v>78</v>
      </c>
      <c r="L3238" t="s">
        <v>79</v>
      </c>
      <c r="M3238" t="s">
        <v>80</v>
      </c>
      <c r="N3238" t="s">
        <v>694</v>
      </c>
      <c r="O3238" t="s">
        <v>82</v>
      </c>
      <c r="P3238" t="str">
        <f>"4170066370                    "</f>
        <v xml:space="preserve">4170066370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17.46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55.42</v>
      </c>
      <c r="BM3238">
        <v>8.31</v>
      </c>
      <c r="BN3238">
        <v>63.73</v>
      </c>
      <c r="BO3238">
        <v>63.73</v>
      </c>
      <c r="BQ3238" t="s">
        <v>695</v>
      </c>
      <c r="BR3238" t="s">
        <v>97</v>
      </c>
      <c r="BS3238" s="3">
        <v>45959</v>
      </c>
      <c r="BT3238" s="4">
        <v>0.34166666666666667</v>
      </c>
      <c r="BU3238" t="s">
        <v>1697</v>
      </c>
      <c r="BV3238" t="s">
        <v>86</v>
      </c>
      <c r="BY3238">
        <v>1200</v>
      </c>
      <c r="CA3238" t="s">
        <v>88</v>
      </c>
      <c r="CC3238" t="s">
        <v>80</v>
      </c>
      <c r="CD3238">
        <v>1601</v>
      </c>
      <c r="CE3238" t="s">
        <v>147</v>
      </c>
      <c r="CF3238" s="3">
        <v>45959</v>
      </c>
      <c r="CI3238">
        <v>1</v>
      </c>
      <c r="CJ3238">
        <v>1</v>
      </c>
      <c r="CK3238">
        <v>22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"080068781445"</f>
        <v>080068781445</v>
      </c>
      <c r="F3239" s="3">
        <v>45958</v>
      </c>
      <c r="G3239">
        <v>202607</v>
      </c>
      <c r="H3239" t="s">
        <v>79</v>
      </c>
      <c r="I3239" t="s">
        <v>80</v>
      </c>
      <c r="J3239" t="s">
        <v>91</v>
      </c>
      <c r="K3239" t="s">
        <v>78</v>
      </c>
      <c r="L3239" t="s">
        <v>121</v>
      </c>
      <c r="M3239" t="s">
        <v>122</v>
      </c>
      <c r="N3239" t="s">
        <v>318</v>
      </c>
      <c r="O3239" t="s">
        <v>82</v>
      </c>
      <c r="P3239" t="str">
        <f>"4170066282                    "</f>
        <v xml:space="preserve">4170066282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22.36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70.959999999999994</v>
      </c>
      <c r="BM3239">
        <v>10.64</v>
      </c>
      <c r="BN3239">
        <v>81.599999999999994</v>
      </c>
      <c r="BO3239">
        <v>81.599999999999994</v>
      </c>
      <c r="BQ3239" t="s">
        <v>319</v>
      </c>
      <c r="BR3239" t="s">
        <v>97</v>
      </c>
      <c r="BS3239" s="3">
        <v>45959</v>
      </c>
      <c r="BT3239" s="4">
        <v>0.36319444444444443</v>
      </c>
      <c r="BU3239" t="s">
        <v>320</v>
      </c>
      <c r="BV3239" t="s">
        <v>86</v>
      </c>
      <c r="BY3239">
        <v>1200</v>
      </c>
      <c r="CA3239" t="s">
        <v>321</v>
      </c>
      <c r="CC3239" t="s">
        <v>122</v>
      </c>
      <c r="CD3239">
        <v>4001</v>
      </c>
      <c r="CE3239" t="s">
        <v>147</v>
      </c>
      <c r="CF3239" s="3">
        <v>45959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"080068781480"</f>
        <v>080068781480</v>
      </c>
      <c r="F3240" s="3">
        <v>45958</v>
      </c>
      <c r="G3240">
        <v>202607</v>
      </c>
      <c r="H3240" t="s">
        <v>79</v>
      </c>
      <c r="I3240" t="s">
        <v>80</v>
      </c>
      <c r="J3240" t="s">
        <v>91</v>
      </c>
      <c r="K3240" t="s">
        <v>78</v>
      </c>
      <c r="L3240" t="s">
        <v>79</v>
      </c>
      <c r="M3240" t="s">
        <v>80</v>
      </c>
      <c r="N3240" t="s">
        <v>694</v>
      </c>
      <c r="O3240" t="s">
        <v>226</v>
      </c>
      <c r="P3240" t="str">
        <f>"4170066363                    "</f>
        <v xml:space="preserve">4170066363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17.47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5</v>
      </c>
      <c r="BJ3240">
        <v>3.4</v>
      </c>
      <c r="BK3240">
        <v>5</v>
      </c>
      <c r="BL3240">
        <v>55.44</v>
      </c>
      <c r="BM3240">
        <v>8.32</v>
      </c>
      <c r="BN3240">
        <v>63.76</v>
      </c>
      <c r="BO3240">
        <v>63.76</v>
      </c>
      <c r="BQ3240" t="s">
        <v>695</v>
      </c>
      <c r="BR3240" t="s">
        <v>97</v>
      </c>
      <c r="BS3240" s="3">
        <v>45959</v>
      </c>
      <c r="BT3240" s="4">
        <v>0.34166666666666667</v>
      </c>
      <c r="BU3240" t="s">
        <v>1697</v>
      </c>
      <c r="BV3240" t="s">
        <v>86</v>
      </c>
      <c r="BY3240">
        <v>16965</v>
      </c>
      <c r="CA3240" t="s">
        <v>88</v>
      </c>
      <c r="CC3240" t="s">
        <v>80</v>
      </c>
      <c r="CD3240">
        <v>1601</v>
      </c>
      <c r="CE3240" t="s">
        <v>191</v>
      </c>
      <c r="CF3240" s="3">
        <v>45959</v>
      </c>
      <c r="CI3240">
        <v>1</v>
      </c>
      <c r="CJ3240">
        <v>1</v>
      </c>
      <c r="CK3240">
        <v>32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"080068781780"</f>
        <v>080068781780</v>
      </c>
      <c r="F3241" s="3">
        <v>45958</v>
      </c>
      <c r="G3241">
        <v>202607</v>
      </c>
      <c r="H3241" t="s">
        <v>79</v>
      </c>
      <c r="I3241" t="s">
        <v>80</v>
      </c>
      <c r="J3241" t="s">
        <v>91</v>
      </c>
      <c r="K3241" t="s">
        <v>78</v>
      </c>
      <c r="L3241" t="s">
        <v>1657</v>
      </c>
      <c r="M3241" t="s">
        <v>1657</v>
      </c>
      <c r="N3241" t="s">
        <v>416</v>
      </c>
      <c r="O3241" t="s">
        <v>95</v>
      </c>
      <c r="P3241" t="str">
        <f>"4170066373                    "</f>
        <v xml:space="preserve">4170066373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67.69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20</v>
      </c>
      <c r="BJ3241">
        <v>30.9</v>
      </c>
      <c r="BK3241">
        <v>31</v>
      </c>
      <c r="BL3241">
        <v>220.71</v>
      </c>
      <c r="BM3241">
        <v>33.11</v>
      </c>
      <c r="BN3241">
        <v>253.82</v>
      </c>
      <c r="BO3241">
        <v>253.82</v>
      </c>
      <c r="BQ3241" t="s">
        <v>417</v>
      </c>
      <c r="BR3241" t="s">
        <v>97</v>
      </c>
      <c r="BS3241" t="s">
        <v>2659</v>
      </c>
      <c r="BY3241">
        <v>154560</v>
      </c>
      <c r="CC3241" t="s">
        <v>1657</v>
      </c>
      <c r="CD3241">
        <v>1491</v>
      </c>
      <c r="CE3241" t="s">
        <v>191</v>
      </c>
      <c r="CI3241">
        <v>1</v>
      </c>
      <c r="CJ3241" t="s">
        <v>2659</v>
      </c>
      <c r="CK3241">
        <v>44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"080068781817"</f>
        <v>080068781817</v>
      </c>
      <c r="F3242" s="3">
        <v>45958</v>
      </c>
      <c r="G3242">
        <v>202607</v>
      </c>
      <c r="H3242" t="s">
        <v>79</v>
      </c>
      <c r="I3242" t="s">
        <v>80</v>
      </c>
      <c r="J3242" t="s">
        <v>91</v>
      </c>
      <c r="K3242" t="s">
        <v>78</v>
      </c>
      <c r="L3242" t="s">
        <v>114</v>
      </c>
      <c r="M3242" t="s">
        <v>115</v>
      </c>
      <c r="N3242" t="s">
        <v>746</v>
      </c>
      <c r="O3242" t="s">
        <v>82</v>
      </c>
      <c r="P3242" t="str">
        <f>"4170066384                    "</f>
        <v xml:space="preserve">4170066384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22.36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1.1000000000000001</v>
      </c>
      <c r="BK3242">
        <v>1.5</v>
      </c>
      <c r="BL3242">
        <v>70.959999999999994</v>
      </c>
      <c r="BM3242">
        <v>10.64</v>
      </c>
      <c r="BN3242">
        <v>81.599999999999994</v>
      </c>
      <c r="BO3242">
        <v>81.599999999999994</v>
      </c>
      <c r="BQ3242" t="s">
        <v>747</v>
      </c>
      <c r="BR3242" t="s">
        <v>97</v>
      </c>
      <c r="BS3242" s="3">
        <v>45959</v>
      </c>
      <c r="BT3242" s="4">
        <v>0.55694444444444446</v>
      </c>
      <c r="BU3242" t="s">
        <v>2208</v>
      </c>
      <c r="BV3242" t="s">
        <v>90</v>
      </c>
      <c r="BW3242" t="s">
        <v>771</v>
      </c>
      <c r="BX3242" t="s">
        <v>2462</v>
      </c>
      <c r="BY3242">
        <v>5510</v>
      </c>
      <c r="CA3242" t="s">
        <v>749</v>
      </c>
      <c r="CC3242" t="s">
        <v>115</v>
      </c>
      <c r="CD3242">
        <v>5201</v>
      </c>
      <c r="CE3242" t="s">
        <v>191</v>
      </c>
      <c r="CF3242" s="3">
        <v>45960</v>
      </c>
      <c r="CI3242">
        <v>1</v>
      </c>
      <c r="CJ3242">
        <v>1</v>
      </c>
      <c r="CK3242">
        <v>21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"080068781961"</f>
        <v>080068781961</v>
      </c>
      <c r="F3243" s="3">
        <v>45958</v>
      </c>
      <c r="G3243">
        <v>202607</v>
      </c>
      <c r="H3243" t="s">
        <v>79</v>
      </c>
      <c r="I3243" t="s">
        <v>80</v>
      </c>
      <c r="J3243" t="s">
        <v>91</v>
      </c>
      <c r="K3243" t="s">
        <v>78</v>
      </c>
      <c r="L3243" t="s">
        <v>108</v>
      </c>
      <c r="M3243" t="s">
        <v>109</v>
      </c>
      <c r="N3243" t="s">
        <v>3497</v>
      </c>
      <c r="O3243" t="s">
        <v>82</v>
      </c>
      <c r="P3243" t="str">
        <f>"4170066365                    "</f>
        <v xml:space="preserve">4170066365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22.36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70.959999999999994</v>
      </c>
      <c r="BM3243">
        <v>10.64</v>
      </c>
      <c r="BN3243">
        <v>81.599999999999994</v>
      </c>
      <c r="BO3243">
        <v>81.599999999999994</v>
      </c>
      <c r="BQ3243" t="s">
        <v>3498</v>
      </c>
      <c r="BR3243" t="s">
        <v>97</v>
      </c>
      <c r="BS3243" s="3">
        <v>45959</v>
      </c>
      <c r="BT3243" s="4">
        <v>0.37569444444444444</v>
      </c>
      <c r="BU3243" t="s">
        <v>2223</v>
      </c>
      <c r="BV3243" t="s">
        <v>86</v>
      </c>
      <c r="BY3243">
        <v>1200</v>
      </c>
      <c r="CA3243" t="s">
        <v>1090</v>
      </c>
      <c r="CC3243" t="s">
        <v>109</v>
      </c>
      <c r="CD3243">
        <v>6001</v>
      </c>
      <c r="CE3243" t="s">
        <v>147</v>
      </c>
      <c r="CF3243" s="3">
        <v>45959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"080068781988"</f>
        <v>080068781988</v>
      </c>
      <c r="F3244" s="3">
        <v>45958</v>
      </c>
      <c r="G3244">
        <v>202607</v>
      </c>
      <c r="H3244" t="s">
        <v>79</v>
      </c>
      <c r="I3244" t="s">
        <v>80</v>
      </c>
      <c r="J3244" t="s">
        <v>91</v>
      </c>
      <c r="K3244" t="s">
        <v>78</v>
      </c>
      <c r="L3244" t="s">
        <v>79</v>
      </c>
      <c r="M3244" t="s">
        <v>80</v>
      </c>
      <c r="N3244" t="s">
        <v>694</v>
      </c>
      <c r="O3244" t="s">
        <v>82</v>
      </c>
      <c r="P3244" t="str">
        <f>"4170066358                    "</f>
        <v xml:space="preserve">4170066358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17.46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55.42</v>
      </c>
      <c r="BM3244">
        <v>8.31</v>
      </c>
      <c r="BN3244">
        <v>63.73</v>
      </c>
      <c r="BO3244">
        <v>63.73</v>
      </c>
      <c r="BQ3244" t="s">
        <v>695</v>
      </c>
      <c r="BR3244" t="s">
        <v>97</v>
      </c>
      <c r="BS3244" s="3">
        <v>45959</v>
      </c>
      <c r="BT3244" s="4">
        <v>0.34166666666666667</v>
      </c>
      <c r="BU3244" t="s">
        <v>1697</v>
      </c>
      <c r="BV3244" t="s">
        <v>86</v>
      </c>
      <c r="BY3244">
        <v>1200</v>
      </c>
      <c r="CA3244" t="s">
        <v>88</v>
      </c>
      <c r="CC3244" t="s">
        <v>80</v>
      </c>
      <c r="CD3244">
        <v>1601</v>
      </c>
      <c r="CE3244" t="s">
        <v>147</v>
      </c>
      <c r="CF3244" s="3">
        <v>45959</v>
      </c>
      <c r="CI3244">
        <v>1</v>
      </c>
      <c r="CJ3244">
        <v>1</v>
      </c>
      <c r="CK3244">
        <v>22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"080068782198"</f>
        <v>080068782198</v>
      </c>
      <c r="F3245" s="3">
        <v>45958</v>
      </c>
      <c r="G3245">
        <v>202607</v>
      </c>
      <c r="H3245" t="s">
        <v>79</v>
      </c>
      <c r="I3245" t="s">
        <v>80</v>
      </c>
      <c r="J3245" t="s">
        <v>91</v>
      </c>
      <c r="K3245" t="s">
        <v>78</v>
      </c>
      <c r="L3245" t="s">
        <v>108</v>
      </c>
      <c r="M3245" t="s">
        <v>109</v>
      </c>
      <c r="N3245" t="s">
        <v>1567</v>
      </c>
      <c r="O3245" t="s">
        <v>82</v>
      </c>
      <c r="P3245" t="str">
        <f>"4170066357                    "</f>
        <v xml:space="preserve">4170066357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22.36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70.959999999999994</v>
      </c>
      <c r="BM3245">
        <v>10.64</v>
      </c>
      <c r="BN3245">
        <v>81.599999999999994</v>
      </c>
      <c r="BO3245">
        <v>81.599999999999994</v>
      </c>
      <c r="BQ3245" t="s">
        <v>1568</v>
      </c>
      <c r="BR3245" t="s">
        <v>97</v>
      </c>
      <c r="BS3245" s="3">
        <v>45959</v>
      </c>
      <c r="BT3245" s="4">
        <v>0.38194444444444442</v>
      </c>
      <c r="BU3245" t="s">
        <v>2759</v>
      </c>
      <c r="BV3245" t="s">
        <v>86</v>
      </c>
      <c r="BY3245">
        <v>1200</v>
      </c>
      <c r="CA3245" t="s">
        <v>113</v>
      </c>
      <c r="CC3245" t="s">
        <v>109</v>
      </c>
      <c r="CD3245">
        <v>6000</v>
      </c>
      <c r="CE3245" t="s">
        <v>147</v>
      </c>
      <c r="CF3245" s="3">
        <v>45959</v>
      </c>
      <c r="CI3245">
        <v>1</v>
      </c>
      <c r="CJ3245">
        <v>1</v>
      </c>
      <c r="CK3245">
        <v>21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"080068782311"</f>
        <v>080068782311</v>
      </c>
      <c r="F3246" s="3">
        <v>45958</v>
      </c>
      <c r="G3246">
        <v>202607</v>
      </c>
      <c r="H3246" t="s">
        <v>79</v>
      </c>
      <c r="I3246" t="s">
        <v>80</v>
      </c>
      <c r="J3246" t="s">
        <v>91</v>
      </c>
      <c r="K3246" t="s">
        <v>78</v>
      </c>
      <c r="L3246" t="s">
        <v>168</v>
      </c>
      <c r="M3246" t="s">
        <v>169</v>
      </c>
      <c r="N3246" t="s">
        <v>836</v>
      </c>
      <c r="O3246" t="s">
        <v>82</v>
      </c>
      <c r="P3246" t="str">
        <f>"4170066356                    "</f>
        <v xml:space="preserve">4170066356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22.36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70.959999999999994</v>
      </c>
      <c r="BM3246">
        <v>10.64</v>
      </c>
      <c r="BN3246">
        <v>81.599999999999994</v>
      </c>
      <c r="BO3246">
        <v>81.599999999999994</v>
      </c>
      <c r="BQ3246" t="s">
        <v>837</v>
      </c>
      <c r="BR3246" t="s">
        <v>97</v>
      </c>
      <c r="BS3246" s="3">
        <v>45959</v>
      </c>
      <c r="BT3246" s="4">
        <v>0.4909722222222222</v>
      </c>
      <c r="BU3246" t="s">
        <v>838</v>
      </c>
      <c r="BV3246" t="s">
        <v>90</v>
      </c>
      <c r="BW3246" t="s">
        <v>188</v>
      </c>
      <c r="BX3246" t="s">
        <v>3157</v>
      </c>
      <c r="BY3246">
        <v>1200</v>
      </c>
      <c r="CA3246">
        <v>8110305701087</v>
      </c>
      <c r="CC3246" t="s">
        <v>169</v>
      </c>
      <c r="CD3246" s="5" t="s">
        <v>839</v>
      </c>
      <c r="CE3246" t="s">
        <v>147</v>
      </c>
      <c r="CF3246" s="3">
        <v>45959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"080068782317"</f>
        <v>080068782317</v>
      </c>
      <c r="F3247" s="3">
        <v>45958</v>
      </c>
      <c r="G3247">
        <v>202607</v>
      </c>
      <c r="H3247" t="s">
        <v>79</v>
      </c>
      <c r="I3247" t="s">
        <v>80</v>
      </c>
      <c r="J3247" t="s">
        <v>91</v>
      </c>
      <c r="K3247" t="s">
        <v>78</v>
      </c>
      <c r="L3247" t="s">
        <v>884</v>
      </c>
      <c r="M3247" t="s">
        <v>885</v>
      </c>
      <c r="N3247" t="s">
        <v>886</v>
      </c>
      <c r="O3247" t="s">
        <v>95</v>
      </c>
      <c r="P3247" t="str">
        <f>"4170066383                    "</f>
        <v xml:space="preserve">4170066383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138.83000000000001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2</v>
      </c>
      <c r="BI3247">
        <v>22</v>
      </c>
      <c r="BJ3247">
        <v>39.4</v>
      </c>
      <c r="BK3247">
        <v>40</v>
      </c>
      <c r="BL3247">
        <v>446.5</v>
      </c>
      <c r="BM3247">
        <v>66.98</v>
      </c>
      <c r="BN3247">
        <v>513.48</v>
      </c>
      <c r="BO3247">
        <v>513.48</v>
      </c>
      <c r="BQ3247" t="s">
        <v>887</v>
      </c>
      <c r="BR3247" t="s">
        <v>97</v>
      </c>
      <c r="BS3247" s="3">
        <v>45959</v>
      </c>
      <c r="BT3247" s="4">
        <v>0.33958333333333335</v>
      </c>
      <c r="BU3247" t="s">
        <v>3499</v>
      </c>
      <c r="BV3247" t="s">
        <v>86</v>
      </c>
      <c r="BY3247">
        <v>197120</v>
      </c>
      <c r="CA3247" t="s">
        <v>2533</v>
      </c>
      <c r="CC3247" t="s">
        <v>885</v>
      </c>
      <c r="CD3247">
        <v>2740</v>
      </c>
      <c r="CE3247" t="s">
        <v>107</v>
      </c>
      <c r="CI3247">
        <v>1</v>
      </c>
      <c r="CJ3247">
        <v>1</v>
      </c>
      <c r="CK3247">
        <v>43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"080068782344"</f>
        <v>080068782344</v>
      </c>
      <c r="F3248" s="3">
        <v>45958</v>
      </c>
      <c r="G3248">
        <v>202607</v>
      </c>
      <c r="H3248" t="s">
        <v>79</v>
      </c>
      <c r="I3248" t="s">
        <v>80</v>
      </c>
      <c r="J3248" t="s">
        <v>91</v>
      </c>
      <c r="K3248" t="s">
        <v>78</v>
      </c>
      <c r="L3248" t="s">
        <v>114</v>
      </c>
      <c r="M3248" t="s">
        <v>115</v>
      </c>
      <c r="N3248" t="s">
        <v>3500</v>
      </c>
      <c r="O3248" t="s">
        <v>82</v>
      </c>
      <c r="P3248" t="str">
        <f>"4170066372                    "</f>
        <v xml:space="preserve">4170066372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22.36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70.959999999999994</v>
      </c>
      <c r="BM3248">
        <v>10.64</v>
      </c>
      <c r="BN3248">
        <v>81.599999999999994</v>
      </c>
      <c r="BO3248">
        <v>81.599999999999994</v>
      </c>
      <c r="BQ3248" t="s">
        <v>3501</v>
      </c>
      <c r="BR3248" t="s">
        <v>97</v>
      </c>
      <c r="BS3248" s="3">
        <v>45960</v>
      </c>
      <c r="BT3248" s="4">
        <v>0.49444444444444446</v>
      </c>
      <c r="BU3248" t="s">
        <v>1764</v>
      </c>
      <c r="BV3248" t="s">
        <v>90</v>
      </c>
      <c r="BY3248">
        <v>1200</v>
      </c>
      <c r="CA3248" t="s">
        <v>119</v>
      </c>
      <c r="CC3248" t="s">
        <v>115</v>
      </c>
      <c r="CD3248">
        <v>5201</v>
      </c>
      <c r="CE3248" t="s">
        <v>147</v>
      </c>
      <c r="CI3248">
        <v>5</v>
      </c>
      <c r="CJ3248">
        <v>2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"080068782356"</f>
        <v>080068782356</v>
      </c>
      <c r="F3249" s="3">
        <v>45958</v>
      </c>
      <c r="G3249">
        <v>202607</v>
      </c>
      <c r="H3249" t="s">
        <v>79</v>
      </c>
      <c r="I3249" t="s">
        <v>80</v>
      </c>
      <c r="J3249" t="s">
        <v>91</v>
      </c>
      <c r="K3249" t="s">
        <v>78</v>
      </c>
      <c r="L3249" t="s">
        <v>114</v>
      </c>
      <c r="M3249" t="s">
        <v>115</v>
      </c>
      <c r="N3249" t="s">
        <v>881</v>
      </c>
      <c r="O3249" t="s">
        <v>82</v>
      </c>
      <c r="P3249" t="str">
        <f>"4170066406                    "</f>
        <v xml:space="preserve">4170066406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55.86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5</v>
      </c>
      <c r="BJ3249">
        <v>1.9</v>
      </c>
      <c r="BK3249">
        <v>5</v>
      </c>
      <c r="BL3249">
        <v>177.3</v>
      </c>
      <c r="BM3249">
        <v>26.6</v>
      </c>
      <c r="BN3249">
        <v>203.9</v>
      </c>
      <c r="BO3249">
        <v>203.9</v>
      </c>
      <c r="BQ3249" t="s">
        <v>882</v>
      </c>
      <c r="BR3249" t="s">
        <v>97</v>
      </c>
      <c r="BS3249" s="3">
        <v>45959</v>
      </c>
      <c r="BT3249" s="4">
        <v>0.53680555555555554</v>
      </c>
      <c r="BU3249" t="s">
        <v>1901</v>
      </c>
      <c r="BV3249" t="s">
        <v>90</v>
      </c>
      <c r="BW3249" t="s">
        <v>771</v>
      </c>
      <c r="BX3249" t="s">
        <v>2462</v>
      </c>
      <c r="BY3249">
        <v>9600</v>
      </c>
      <c r="CA3249" t="s">
        <v>749</v>
      </c>
      <c r="CC3249" t="s">
        <v>115</v>
      </c>
      <c r="CD3249">
        <v>5201</v>
      </c>
      <c r="CE3249" t="s">
        <v>191</v>
      </c>
      <c r="CF3249" s="3">
        <v>45960</v>
      </c>
      <c r="CI3249">
        <v>1</v>
      </c>
      <c r="CJ3249">
        <v>1</v>
      </c>
      <c r="CK3249">
        <v>21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"080068782366"</f>
        <v>080068782366</v>
      </c>
      <c r="F3250" s="3">
        <v>45958</v>
      </c>
      <c r="G3250">
        <v>202607</v>
      </c>
      <c r="H3250" t="s">
        <v>79</v>
      </c>
      <c r="I3250" t="s">
        <v>80</v>
      </c>
      <c r="J3250" t="s">
        <v>91</v>
      </c>
      <c r="K3250" t="s">
        <v>78</v>
      </c>
      <c r="L3250" t="s">
        <v>79</v>
      </c>
      <c r="M3250" t="s">
        <v>80</v>
      </c>
      <c r="N3250" t="s">
        <v>3502</v>
      </c>
      <c r="O3250" t="s">
        <v>82</v>
      </c>
      <c r="P3250" t="str">
        <f>"4170066369                    "</f>
        <v xml:space="preserve">4170066369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17.46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55.42</v>
      </c>
      <c r="BM3250">
        <v>8.31</v>
      </c>
      <c r="BN3250">
        <v>63.73</v>
      </c>
      <c r="BO3250">
        <v>63.73</v>
      </c>
      <c r="BQ3250" t="s">
        <v>3503</v>
      </c>
      <c r="BR3250" t="s">
        <v>97</v>
      </c>
      <c r="BS3250" s="3">
        <v>45959</v>
      </c>
      <c r="BT3250" s="4">
        <v>0.30763888888888891</v>
      </c>
      <c r="BU3250" t="s">
        <v>3504</v>
      </c>
      <c r="BV3250" t="s">
        <v>86</v>
      </c>
      <c r="BY3250">
        <v>1200</v>
      </c>
      <c r="CA3250" t="s">
        <v>3505</v>
      </c>
      <c r="CC3250" t="s">
        <v>80</v>
      </c>
      <c r="CD3250">
        <v>1666</v>
      </c>
      <c r="CE3250" t="s">
        <v>147</v>
      </c>
      <c r="CF3250" s="3">
        <v>45959</v>
      </c>
      <c r="CI3250">
        <v>1</v>
      </c>
      <c r="CJ3250">
        <v>1</v>
      </c>
      <c r="CK3250">
        <v>22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"080068782544"</f>
        <v>080068782544</v>
      </c>
      <c r="F3251" s="3">
        <v>45958</v>
      </c>
      <c r="G3251">
        <v>202607</v>
      </c>
      <c r="H3251" t="s">
        <v>79</v>
      </c>
      <c r="I3251" t="s">
        <v>80</v>
      </c>
      <c r="J3251" t="s">
        <v>91</v>
      </c>
      <c r="K3251" t="s">
        <v>78</v>
      </c>
      <c r="L3251" t="s">
        <v>1508</v>
      </c>
      <c r="M3251" t="s">
        <v>1509</v>
      </c>
      <c r="N3251" t="s">
        <v>1727</v>
      </c>
      <c r="O3251" t="s">
        <v>82</v>
      </c>
      <c r="P3251" t="str">
        <f>"4170066366                    "</f>
        <v xml:space="preserve">4170066366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43.31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137.47</v>
      </c>
      <c r="BM3251">
        <v>20.62</v>
      </c>
      <c r="BN3251">
        <v>158.09</v>
      </c>
      <c r="BO3251">
        <v>158.09</v>
      </c>
      <c r="BQ3251" t="s">
        <v>1728</v>
      </c>
      <c r="BR3251" t="s">
        <v>97</v>
      </c>
      <c r="BS3251" s="3">
        <v>45959</v>
      </c>
      <c r="BT3251" s="4">
        <v>0.63680555555555551</v>
      </c>
      <c r="BU3251" t="s">
        <v>2383</v>
      </c>
      <c r="BV3251" t="s">
        <v>86</v>
      </c>
      <c r="BY3251">
        <v>1200</v>
      </c>
      <c r="CA3251" t="s">
        <v>2384</v>
      </c>
      <c r="CC3251" t="s">
        <v>1509</v>
      </c>
      <c r="CD3251">
        <v>3370</v>
      </c>
      <c r="CE3251" t="s">
        <v>147</v>
      </c>
      <c r="CF3251" s="3">
        <v>45960</v>
      </c>
      <c r="CI3251">
        <v>2</v>
      </c>
      <c r="CJ3251">
        <v>1</v>
      </c>
      <c r="CK3251">
        <v>23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"080068782568"</f>
        <v>080068782568</v>
      </c>
      <c r="F3252" s="3">
        <v>45958</v>
      </c>
      <c r="G3252">
        <v>202607</v>
      </c>
      <c r="H3252" t="s">
        <v>79</v>
      </c>
      <c r="I3252" t="s">
        <v>80</v>
      </c>
      <c r="J3252" t="s">
        <v>91</v>
      </c>
      <c r="K3252" t="s">
        <v>78</v>
      </c>
      <c r="L3252" t="s">
        <v>79</v>
      </c>
      <c r="M3252" t="s">
        <v>80</v>
      </c>
      <c r="N3252" t="s">
        <v>3506</v>
      </c>
      <c r="O3252" t="s">
        <v>82</v>
      </c>
      <c r="P3252" t="str">
        <f>"4170066402                    "</f>
        <v xml:space="preserve">4170066402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17.46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55.42</v>
      </c>
      <c r="BM3252">
        <v>8.31</v>
      </c>
      <c r="BN3252">
        <v>63.73</v>
      </c>
      <c r="BO3252">
        <v>63.73</v>
      </c>
      <c r="BQ3252" t="s">
        <v>3507</v>
      </c>
      <c r="BR3252" t="s">
        <v>97</v>
      </c>
      <c r="BS3252" s="3">
        <v>45959</v>
      </c>
      <c r="BT3252" s="4">
        <v>0.53888888888888886</v>
      </c>
      <c r="BU3252" t="s">
        <v>3508</v>
      </c>
      <c r="BV3252" t="s">
        <v>90</v>
      </c>
      <c r="BW3252" t="s">
        <v>771</v>
      </c>
      <c r="BX3252" t="s">
        <v>3381</v>
      </c>
      <c r="BY3252">
        <v>1200</v>
      </c>
      <c r="CA3252" t="s">
        <v>360</v>
      </c>
      <c r="CC3252" t="s">
        <v>80</v>
      </c>
      <c r="CD3252">
        <v>1610</v>
      </c>
      <c r="CE3252" t="s">
        <v>147</v>
      </c>
      <c r="CF3252" s="3">
        <v>45960</v>
      </c>
      <c r="CI3252">
        <v>1</v>
      </c>
      <c r="CJ3252">
        <v>1</v>
      </c>
      <c r="CK3252">
        <v>22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"080068782582"</f>
        <v>080068782582</v>
      </c>
      <c r="F3253" s="3">
        <v>45958</v>
      </c>
      <c r="G3253">
        <v>202607</v>
      </c>
      <c r="H3253" t="s">
        <v>79</v>
      </c>
      <c r="I3253" t="s">
        <v>80</v>
      </c>
      <c r="J3253" t="s">
        <v>91</v>
      </c>
      <c r="K3253" t="s">
        <v>78</v>
      </c>
      <c r="L3253" t="s">
        <v>148</v>
      </c>
      <c r="M3253" t="s">
        <v>149</v>
      </c>
      <c r="N3253" t="s">
        <v>150</v>
      </c>
      <c r="O3253" t="s">
        <v>82</v>
      </c>
      <c r="P3253" t="str">
        <f>"4170066348                    "</f>
        <v xml:space="preserve">4170066348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17.46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2</v>
      </c>
      <c r="BJ3253">
        <v>1.7</v>
      </c>
      <c r="BK3253">
        <v>2</v>
      </c>
      <c r="BL3253">
        <v>55.42</v>
      </c>
      <c r="BM3253">
        <v>8.31</v>
      </c>
      <c r="BN3253">
        <v>63.73</v>
      </c>
      <c r="BO3253">
        <v>63.73</v>
      </c>
      <c r="BQ3253" t="s">
        <v>151</v>
      </c>
      <c r="BR3253" t="s">
        <v>97</v>
      </c>
      <c r="BS3253" s="3">
        <v>45959</v>
      </c>
      <c r="BT3253" s="4">
        <v>0.33402777777777776</v>
      </c>
      <c r="BU3253" t="s">
        <v>3509</v>
      </c>
      <c r="BV3253" t="s">
        <v>86</v>
      </c>
      <c r="BY3253">
        <v>8550</v>
      </c>
      <c r="CA3253" t="s">
        <v>1321</v>
      </c>
      <c r="CC3253" t="s">
        <v>149</v>
      </c>
      <c r="CD3253">
        <v>2013</v>
      </c>
      <c r="CE3253" t="s">
        <v>191</v>
      </c>
      <c r="CF3253" s="3">
        <v>45959</v>
      </c>
      <c r="CI3253">
        <v>1</v>
      </c>
      <c r="CJ3253">
        <v>1</v>
      </c>
      <c r="CK3253">
        <v>22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"080068782607"</f>
        <v>080068782607</v>
      </c>
      <c r="F3254" s="3">
        <v>45958</v>
      </c>
      <c r="G3254">
        <v>202607</v>
      </c>
      <c r="H3254" t="s">
        <v>79</v>
      </c>
      <c r="I3254" t="s">
        <v>80</v>
      </c>
      <c r="J3254" t="s">
        <v>91</v>
      </c>
      <c r="K3254" t="s">
        <v>78</v>
      </c>
      <c r="L3254" t="s">
        <v>233</v>
      </c>
      <c r="M3254" t="s">
        <v>234</v>
      </c>
      <c r="N3254" t="s">
        <v>1066</v>
      </c>
      <c r="O3254" t="s">
        <v>82</v>
      </c>
      <c r="P3254" t="str">
        <f>"4170066374                    "</f>
        <v xml:space="preserve">4170066374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22.36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70.959999999999994</v>
      </c>
      <c r="BM3254">
        <v>10.64</v>
      </c>
      <c r="BN3254">
        <v>81.599999999999994</v>
      </c>
      <c r="BO3254">
        <v>81.599999999999994</v>
      </c>
      <c r="BQ3254" t="s">
        <v>1067</v>
      </c>
      <c r="BR3254" t="s">
        <v>97</v>
      </c>
      <c r="BS3254" s="3">
        <v>45959</v>
      </c>
      <c r="BT3254" s="4">
        <v>0.56458333333333333</v>
      </c>
      <c r="BU3254" t="s">
        <v>3510</v>
      </c>
      <c r="BV3254" t="s">
        <v>90</v>
      </c>
      <c r="BW3254" t="s">
        <v>188</v>
      </c>
      <c r="BX3254" t="s">
        <v>215</v>
      </c>
      <c r="BY3254">
        <v>1200</v>
      </c>
      <c r="CA3254">
        <v>8203305410088</v>
      </c>
      <c r="CC3254" t="s">
        <v>234</v>
      </c>
      <c r="CD3254" s="5" t="s">
        <v>238</v>
      </c>
      <c r="CE3254" t="s">
        <v>147</v>
      </c>
      <c r="CF3254" s="3">
        <v>45959</v>
      </c>
      <c r="CI3254">
        <v>1</v>
      </c>
      <c r="CJ3254">
        <v>1</v>
      </c>
      <c r="CK3254">
        <v>21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"080068782644"</f>
        <v>080068782644</v>
      </c>
      <c r="F3255" s="3">
        <v>45958</v>
      </c>
      <c r="G3255">
        <v>202607</v>
      </c>
      <c r="H3255" t="s">
        <v>79</v>
      </c>
      <c r="I3255" t="s">
        <v>80</v>
      </c>
      <c r="J3255" t="s">
        <v>91</v>
      </c>
      <c r="K3255" t="s">
        <v>78</v>
      </c>
      <c r="L3255" t="s">
        <v>108</v>
      </c>
      <c r="M3255" t="s">
        <v>109</v>
      </c>
      <c r="N3255" t="s">
        <v>1203</v>
      </c>
      <c r="O3255" t="s">
        <v>82</v>
      </c>
      <c r="P3255" t="str">
        <f>"4170066393                    "</f>
        <v xml:space="preserve">4170066393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22.36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70.959999999999994</v>
      </c>
      <c r="BM3255">
        <v>10.64</v>
      </c>
      <c r="BN3255">
        <v>81.599999999999994</v>
      </c>
      <c r="BO3255">
        <v>81.599999999999994</v>
      </c>
      <c r="BQ3255" t="s">
        <v>1204</v>
      </c>
      <c r="BR3255" t="s">
        <v>97</v>
      </c>
      <c r="BS3255" s="3">
        <v>45959</v>
      </c>
      <c r="BT3255" s="4">
        <v>0.38263888888888886</v>
      </c>
      <c r="BU3255" t="s">
        <v>3511</v>
      </c>
      <c r="BV3255" t="s">
        <v>86</v>
      </c>
      <c r="BY3255">
        <v>1200</v>
      </c>
      <c r="CA3255" t="s">
        <v>1090</v>
      </c>
      <c r="CC3255" t="s">
        <v>109</v>
      </c>
      <c r="CD3255">
        <v>6012</v>
      </c>
      <c r="CE3255" t="s">
        <v>147</v>
      </c>
      <c r="CF3255" s="3">
        <v>45959</v>
      </c>
      <c r="CI3255">
        <v>1</v>
      </c>
      <c r="CJ3255">
        <v>1</v>
      </c>
      <c r="CK3255">
        <v>21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"080068782648"</f>
        <v>080068782648</v>
      </c>
      <c r="F3256" s="3">
        <v>45958</v>
      </c>
      <c r="G3256">
        <v>202607</v>
      </c>
      <c r="H3256" t="s">
        <v>79</v>
      </c>
      <c r="I3256" t="s">
        <v>80</v>
      </c>
      <c r="J3256" t="s">
        <v>91</v>
      </c>
      <c r="K3256" t="s">
        <v>78</v>
      </c>
      <c r="L3256" t="s">
        <v>121</v>
      </c>
      <c r="M3256" t="s">
        <v>122</v>
      </c>
      <c r="N3256" t="s">
        <v>3512</v>
      </c>
      <c r="O3256" t="s">
        <v>82</v>
      </c>
      <c r="P3256" t="str">
        <f>"4170066378                    "</f>
        <v xml:space="preserve">4170066378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22.36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70.959999999999994</v>
      </c>
      <c r="BM3256">
        <v>10.64</v>
      </c>
      <c r="BN3256">
        <v>81.599999999999994</v>
      </c>
      <c r="BO3256">
        <v>81.599999999999994</v>
      </c>
      <c r="BQ3256" t="s">
        <v>3513</v>
      </c>
      <c r="BR3256" t="s">
        <v>97</v>
      </c>
      <c r="BS3256" t="s">
        <v>2659</v>
      </c>
      <c r="BY3256">
        <v>1200</v>
      </c>
      <c r="CC3256" t="s">
        <v>122</v>
      </c>
      <c r="CD3256">
        <v>4093</v>
      </c>
      <c r="CE3256" t="s">
        <v>147</v>
      </c>
      <c r="CI3256">
        <v>1</v>
      </c>
      <c r="CJ3256" t="s">
        <v>2659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"080068782688"</f>
        <v>080068782688</v>
      </c>
      <c r="F3257" s="3">
        <v>45958</v>
      </c>
      <c r="G3257">
        <v>202607</v>
      </c>
      <c r="H3257" t="s">
        <v>79</v>
      </c>
      <c r="I3257" t="s">
        <v>80</v>
      </c>
      <c r="J3257" t="s">
        <v>91</v>
      </c>
      <c r="K3257" t="s">
        <v>78</v>
      </c>
      <c r="L3257" t="s">
        <v>453</v>
      </c>
      <c r="M3257" t="s">
        <v>454</v>
      </c>
      <c r="N3257" t="s">
        <v>845</v>
      </c>
      <c r="O3257" t="s">
        <v>82</v>
      </c>
      <c r="P3257" t="str">
        <f>"4170066380                    "</f>
        <v xml:space="preserve">4170066380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22.36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70.959999999999994</v>
      </c>
      <c r="BM3257">
        <v>10.64</v>
      </c>
      <c r="BN3257">
        <v>81.599999999999994</v>
      </c>
      <c r="BO3257">
        <v>81.599999999999994</v>
      </c>
      <c r="BQ3257" t="s">
        <v>846</v>
      </c>
      <c r="BR3257" t="s">
        <v>97</v>
      </c>
      <c r="BS3257" s="3">
        <v>45959</v>
      </c>
      <c r="BT3257" s="4">
        <v>0.44583333333333336</v>
      </c>
      <c r="BU3257" t="s">
        <v>2146</v>
      </c>
      <c r="BV3257" t="s">
        <v>86</v>
      </c>
      <c r="BY3257">
        <v>1200</v>
      </c>
      <c r="CA3257" t="s">
        <v>457</v>
      </c>
      <c r="CC3257" t="s">
        <v>454</v>
      </c>
      <c r="CD3257">
        <v>3610</v>
      </c>
      <c r="CE3257" t="s">
        <v>147</v>
      </c>
      <c r="CF3257" s="3">
        <v>45960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"080068782691"</f>
        <v>080068782691</v>
      </c>
      <c r="F3258" s="3">
        <v>45958</v>
      </c>
      <c r="G3258">
        <v>202607</v>
      </c>
      <c r="H3258" t="s">
        <v>79</v>
      </c>
      <c r="I3258" t="s">
        <v>80</v>
      </c>
      <c r="J3258" t="s">
        <v>91</v>
      </c>
      <c r="K3258" t="s">
        <v>78</v>
      </c>
      <c r="L3258" t="s">
        <v>108</v>
      </c>
      <c r="M3258" t="s">
        <v>109</v>
      </c>
      <c r="N3258" t="s">
        <v>365</v>
      </c>
      <c r="O3258" t="s">
        <v>82</v>
      </c>
      <c r="P3258" t="str">
        <f>"4170066387                    "</f>
        <v xml:space="preserve">4170066387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122.88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2</v>
      </c>
      <c r="BI3258">
        <v>11</v>
      </c>
      <c r="BJ3258">
        <v>7.5</v>
      </c>
      <c r="BK3258">
        <v>11</v>
      </c>
      <c r="BL3258">
        <v>390</v>
      </c>
      <c r="BM3258">
        <v>58.5</v>
      </c>
      <c r="BN3258">
        <v>448.5</v>
      </c>
      <c r="BO3258">
        <v>448.5</v>
      </c>
      <c r="BQ3258" t="s">
        <v>366</v>
      </c>
      <c r="BR3258" t="s">
        <v>97</v>
      </c>
      <c r="BS3258" s="3">
        <v>45959</v>
      </c>
      <c r="BT3258" s="4">
        <v>0.43541666666666667</v>
      </c>
      <c r="BU3258" t="s">
        <v>3337</v>
      </c>
      <c r="BV3258" t="s">
        <v>86</v>
      </c>
      <c r="BY3258">
        <v>37445</v>
      </c>
      <c r="CA3258" t="s">
        <v>1145</v>
      </c>
      <c r="CC3258" t="s">
        <v>109</v>
      </c>
      <c r="CD3258">
        <v>6056</v>
      </c>
      <c r="CE3258" t="s">
        <v>191</v>
      </c>
      <c r="CF3258" s="3">
        <v>45959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"080068782735"</f>
        <v>080068782735</v>
      </c>
      <c r="F3259" s="3">
        <v>45958</v>
      </c>
      <c r="G3259">
        <v>202607</v>
      </c>
      <c r="H3259" t="s">
        <v>79</v>
      </c>
      <c r="I3259" t="s">
        <v>80</v>
      </c>
      <c r="J3259" t="s">
        <v>91</v>
      </c>
      <c r="K3259" t="s">
        <v>78</v>
      </c>
      <c r="L3259" t="s">
        <v>148</v>
      </c>
      <c r="M3259" t="s">
        <v>149</v>
      </c>
      <c r="N3259" t="s">
        <v>150</v>
      </c>
      <c r="O3259" t="s">
        <v>226</v>
      </c>
      <c r="P3259" t="str">
        <f>"4170066350                    "</f>
        <v xml:space="preserve">4170066350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27.26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13</v>
      </c>
      <c r="BJ3259">
        <v>8.9</v>
      </c>
      <c r="BK3259">
        <v>13</v>
      </c>
      <c r="BL3259">
        <v>86.53</v>
      </c>
      <c r="BM3259">
        <v>12.98</v>
      </c>
      <c r="BN3259">
        <v>99.51</v>
      </c>
      <c r="BO3259">
        <v>99.51</v>
      </c>
      <c r="BQ3259" t="s">
        <v>151</v>
      </c>
      <c r="BR3259" t="s">
        <v>97</v>
      </c>
      <c r="BS3259" s="3">
        <v>45959</v>
      </c>
      <c r="BT3259" s="4">
        <v>0.33402777777777776</v>
      </c>
      <c r="BU3259" t="s">
        <v>3509</v>
      </c>
      <c r="BV3259" t="s">
        <v>86</v>
      </c>
      <c r="BY3259">
        <v>44640</v>
      </c>
      <c r="CA3259" t="s">
        <v>1321</v>
      </c>
      <c r="CC3259" t="s">
        <v>149</v>
      </c>
      <c r="CD3259">
        <v>2013</v>
      </c>
      <c r="CE3259" t="s">
        <v>191</v>
      </c>
      <c r="CF3259" s="3">
        <v>45959</v>
      </c>
      <c r="CI3259">
        <v>1</v>
      </c>
      <c r="CJ3259">
        <v>1</v>
      </c>
      <c r="CK3259">
        <v>32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"080068782796"</f>
        <v>080068782796</v>
      </c>
      <c r="F3260" s="3">
        <v>45958</v>
      </c>
      <c r="G3260">
        <v>202607</v>
      </c>
      <c r="H3260" t="s">
        <v>79</v>
      </c>
      <c r="I3260" t="s">
        <v>80</v>
      </c>
      <c r="J3260" t="s">
        <v>91</v>
      </c>
      <c r="K3260" t="s">
        <v>78</v>
      </c>
      <c r="L3260" t="s">
        <v>333</v>
      </c>
      <c r="M3260" t="s">
        <v>334</v>
      </c>
      <c r="N3260" t="s">
        <v>512</v>
      </c>
      <c r="O3260" t="s">
        <v>82</v>
      </c>
      <c r="P3260" t="str">
        <f>"4170066371                    "</f>
        <v xml:space="preserve">4170066371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22.36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2</v>
      </c>
      <c r="BJ3260">
        <v>1.1000000000000001</v>
      </c>
      <c r="BK3260">
        <v>2</v>
      </c>
      <c r="BL3260">
        <v>70.959999999999994</v>
      </c>
      <c r="BM3260">
        <v>10.64</v>
      </c>
      <c r="BN3260">
        <v>81.599999999999994</v>
      </c>
      <c r="BO3260">
        <v>81.599999999999994</v>
      </c>
      <c r="BQ3260" t="s">
        <v>513</v>
      </c>
      <c r="BR3260" t="s">
        <v>97</v>
      </c>
      <c r="BS3260" s="3">
        <v>45959</v>
      </c>
      <c r="BT3260" s="4">
        <v>0.4236111111111111</v>
      </c>
      <c r="BU3260" t="s">
        <v>3514</v>
      </c>
      <c r="BV3260" t="s">
        <v>86</v>
      </c>
      <c r="BY3260">
        <v>5510</v>
      </c>
      <c r="CA3260" t="s">
        <v>142</v>
      </c>
      <c r="CC3260" t="s">
        <v>334</v>
      </c>
      <c r="CD3260">
        <v>6220</v>
      </c>
      <c r="CE3260" t="s">
        <v>191</v>
      </c>
      <c r="CF3260" s="3">
        <v>45959</v>
      </c>
      <c r="CI3260">
        <v>1</v>
      </c>
      <c r="CJ3260">
        <v>1</v>
      </c>
      <c r="CK3260">
        <v>21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"080068782837"</f>
        <v>080068782837</v>
      </c>
      <c r="F3261" s="3">
        <v>45958</v>
      </c>
      <c r="G3261">
        <v>202607</v>
      </c>
      <c r="H3261" t="s">
        <v>79</v>
      </c>
      <c r="I3261" t="s">
        <v>80</v>
      </c>
      <c r="J3261" t="s">
        <v>91</v>
      </c>
      <c r="K3261" t="s">
        <v>78</v>
      </c>
      <c r="L3261" t="s">
        <v>2063</v>
      </c>
      <c r="M3261" t="s">
        <v>2064</v>
      </c>
      <c r="N3261" t="s">
        <v>2065</v>
      </c>
      <c r="O3261" t="s">
        <v>82</v>
      </c>
      <c r="P3261" t="str">
        <f>"4170066398                    "</f>
        <v xml:space="preserve">4170066398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31.44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1.4</v>
      </c>
      <c r="BK3261">
        <v>1.5</v>
      </c>
      <c r="BL3261">
        <v>99.79</v>
      </c>
      <c r="BM3261">
        <v>14.97</v>
      </c>
      <c r="BN3261">
        <v>114.76</v>
      </c>
      <c r="BO3261">
        <v>114.76</v>
      </c>
      <c r="BQ3261" t="s">
        <v>2066</v>
      </c>
      <c r="BR3261" t="s">
        <v>97</v>
      </c>
      <c r="BS3261" s="3">
        <v>45959</v>
      </c>
      <c r="BT3261" s="4">
        <v>0.47638888888888886</v>
      </c>
      <c r="BU3261" t="s">
        <v>3515</v>
      </c>
      <c r="BV3261" t="s">
        <v>86</v>
      </c>
      <c r="BY3261">
        <v>7168</v>
      </c>
      <c r="CA3261" t="s">
        <v>3516</v>
      </c>
      <c r="CC3261" t="s">
        <v>2064</v>
      </c>
      <c r="CD3261">
        <v>1786</v>
      </c>
      <c r="CE3261" t="s">
        <v>107</v>
      </c>
      <c r="CF3261" s="3">
        <v>45959</v>
      </c>
      <c r="CI3261">
        <v>1</v>
      </c>
      <c r="CJ3261">
        <v>1</v>
      </c>
      <c r="CK3261">
        <v>24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"080068783121"</f>
        <v>080068783121</v>
      </c>
      <c r="F3262" s="3">
        <v>45958</v>
      </c>
      <c r="G3262">
        <v>202607</v>
      </c>
      <c r="H3262" t="s">
        <v>79</v>
      </c>
      <c r="I3262" t="s">
        <v>80</v>
      </c>
      <c r="J3262" t="s">
        <v>91</v>
      </c>
      <c r="K3262" t="s">
        <v>78</v>
      </c>
      <c r="L3262" t="s">
        <v>246</v>
      </c>
      <c r="M3262" t="s">
        <v>247</v>
      </c>
      <c r="N3262" t="s">
        <v>2893</v>
      </c>
      <c r="O3262" t="s">
        <v>82</v>
      </c>
      <c r="P3262" t="str">
        <f>"4170066359                    "</f>
        <v xml:space="preserve">4170066359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43.31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16.739999999999998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154.21</v>
      </c>
      <c r="BM3262">
        <v>23.13</v>
      </c>
      <c r="BN3262">
        <v>177.34</v>
      </c>
      <c r="BO3262">
        <v>177.34</v>
      </c>
      <c r="BQ3262" t="s">
        <v>2894</v>
      </c>
      <c r="BR3262" t="s">
        <v>97</v>
      </c>
      <c r="BS3262" s="3">
        <v>45959</v>
      </c>
      <c r="BT3262" s="4">
        <v>0.5</v>
      </c>
      <c r="BU3262" t="s">
        <v>3517</v>
      </c>
      <c r="BV3262" t="s">
        <v>86</v>
      </c>
      <c r="BY3262">
        <v>1200</v>
      </c>
      <c r="BZ3262" t="s">
        <v>30</v>
      </c>
      <c r="CC3262" t="s">
        <v>247</v>
      </c>
      <c r="CD3262" s="5" t="s">
        <v>2896</v>
      </c>
      <c r="CE3262" t="s">
        <v>1955</v>
      </c>
      <c r="CI3262">
        <v>1</v>
      </c>
      <c r="CJ3262">
        <v>1</v>
      </c>
      <c r="CK3262">
        <v>23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"080068783989"</f>
        <v>080068783989</v>
      </c>
      <c r="F3263" s="3">
        <v>45958</v>
      </c>
      <c r="G3263">
        <v>202607</v>
      </c>
      <c r="H3263" t="s">
        <v>79</v>
      </c>
      <c r="I3263" t="s">
        <v>80</v>
      </c>
      <c r="J3263" t="s">
        <v>91</v>
      </c>
      <c r="K3263" t="s">
        <v>78</v>
      </c>
      <c r="L3263" t="s">
        <v>168</v>
      </c>
      <c r="M3263" t="s">
        <v>169</v>
      </c>
      <c r="N3263" t="s">
        <v>1182</v>
      </c>
      <c r="O3263" t="s">
        <v>95</v>
      </c>
      <c r="P3263" t="str">
        <f>"4170066400                    "</f>
        <v xml:space="preserve">4170066400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43.23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2</v>
      </c>
      <c r="BI3263">
        <v>4</v>
      </c>
      <c r="BJ3263">
        <v>2.8</v>
      </c>
      <c r="BK3263">
        <v>4</v>
      </c>
      <c r="BL3263">
        <v>143.08000000000001</v>
      </c>
      <c r="BM3263">
        <v>21.46</v>
      </c>
      <c r="BN3263">
        <v>164.54</v>
      </c>
      <c r="BO3263">
        <v>164.54</v>
      </c>
      <c r="BQ3263" t="s">
        <v>1183</v>
      </c>
      <c r="BR3263" t="s">
        <v>97</v>
      </c>
      <c r="BS3263" s="3">
        <v>45959</v>
      </c>
      <c r="BT3263" s="4">
        <v>0.41111111111111109</v>
      </c>
      <c r="BU3263" t="s">
        <v>3518</v>
      </c>
      <c r="BV3263" t="s">
        <v>86</v>
      </c>
      <c r="BY3263">
        <v>13980</v>
      </c>
      <c r="CA3263">
        <v>8110305701087</v>
      </c>
      <c r="CC3263" t="s">
        <v>169</v>
      </c>
      <c r="CD3263" s="5" t="s">
        <v>1108</v>
      </c>
      <c r="CE3263" t="s">
        <v>191</v>
      </c>
      <c r="CF3263" s="3">
        <v>45959</v>
      </c>
      <c r="CI3263">
        <v>1</v>
      </c>
      <c r="CJ3263">
        <v>1</v>
      </c>
      <c r="CK3263">
        <v>41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"080068783995"</f>
        <v>080068783995</v>
      </c>
      <c r="F3264" s="3">
        <v>45958</v>
      </c>
      <c r="G3264">
        <v>202607</v>
      </c>
      <c r="H3264" t="s">
        <v>79</v>
      </c>
      <c r="I3264" t="s">
        <v>80</v>
      </c>
      <c r="J3264" t="s">
        <v>91</v>
      </c>
      <c r="K3264" t="s">
        <v>78</v>
      </c>
      <c r="L3264" t="s">
        <v>206</v>
      </c>
      <c r="M3264" t="s">
        <v>207</v>
      </c>
      <c r="N3264" t="s">
        <v>3519</v>
      </c>
      <c r="O3264" t="s">
        <v>82</v>
      </c>
      <c r="P3264" t="str">
        <f>"4170066399                    "</f>
        <v xml:space="preserve">4170066399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22.36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70.959999999999994</v>
      </c>
      <c r="BM3264">
        <v>10.64</v>
      </c>
      <c r="BN3264">
        <v>81.599999999999994</v>
      </c>
      <c r="BO3264">
        <v>81.599999999999994</v>
      </c>
      <c r="BQ3264" t="s">
        <v>3520</v>
      </c>
      <c r="BR3264" t="s">
        <v>97</v>
      </c>
      <c r="BS3264" s="3">
        <v>45959</v>
      </c>
      <c r="BT3264" s="4">
        <v>0.42083333333333334</v>
      </c>
      <c r="BU3264" t="s">
        <v>3521</v>
      </c>
      <c r="BV3264" t="s">
        <v>86</v>
      </c>
      <c r="BY3264">
        <v>1200</v>
      </c>
      <c r="CA3264" t="s">
        <v>211</v>
      </c>
      <c r="CC3264" t="s">
        <v>207</v>
      </c>
      <c r="CD3264">
        <v>7405</v>
      </c>
      <c r="CE3264" t="s">
        <v>147</v>
      </c>
      <c r="CF3264" s="3">
        <v>45960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"080068784032"</f>
        <v>080068784032</v>
      </c>
      <c r="F3265" s="3">
        <v>45958</v>
      </c>
      <c r="G3265">
        <v>202607</v>
      </c>
      <c r="H3265" t="s">
        <v>79</v>
      </c>
      <c r="I3265" t="s">
        <v>80</v>
      </c>
      <c r="J3265" t="s">
        <v>91</v>
      </c>
      <c r="K3265" t="s">
        <v>78</v>
      </c>
      <c r="L3265" t="s">
        <v>233</v>
      </c>
      <c r="M3265" t="s">
        <v>234</v>
      </c>
      <c r="N3265" t="s">
        <v>908</v>
      </c>
      <c r="O3265" t="s">
        <v>82</v>
      </c>
      <c r="P3265" t="str">
        <f>"4170066410                    "</f>
        <v xml:space="preserve">4170066410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22.36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70.959999999999994</v>
      </c>
      <c r="BM3265">
        <v>10.64</v>
      </c>
      <c r="BN3265">
        <v>81.599999999999994</v>
      </c>
      <c r="BO3265">
        <v>81.599999999999994</v>
      </c>
      <c r="BQ3265" t="s">
        <v>909</v>
      </c>
      <c r="BR3265" t="s">
        <v>97</v>
      </c>
      <c r="BS3265" s="3">
        <v>45959</v>
      </c>
      <c r="BT3265" s="4">
        <v>0.48472222222222222</v>
      </c>
      <c r="BU3265" t="s">
        <v>3522</v>
      </c>
      <c r="BV3265" t="s">
        <v>86</v>
      </c>
      <c r="BY3265">
        <v>1200</v>
      </c>
      <c r="CA3265" t="s">
        <v>146</v>
      </c>
      <c r="CC3265" t="s">
        <v>234</v>
      </c>
      <c r="CD3265" s="5" t="s">
        <v>238</v>
      </c>
      <c r="CE3265" t="s">
        <v>147</v>
      </c>
      <c r="CF3265" s="3">
        <v>45959</v>
      </c>
      <c r="CI3265">
        <v>1</v>
      </c>
      <c r="CJ3265">
        <v>1</v>
      </c>
      <c r="CK3265">
        <v>21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"080068784055"</f>
        <v>080068784055</v>
      </c>
      <c r="F3266" s="3">
        <v>45958</v>
      </c>
      <c r="G3266">
        <v>202607</v>
      </c>
      <c r="H3266" t="s">
        <v>79</v>
      </c>
      <c r="I3266" t="s">
        <v>80</v>
      </c>
      <c r="J3266" t="s">
        <v>91</v>
      </c>
      <c r="K3266" t="s">
        <v>78</v>
      </c>
      <c r="L3266" t="s">
        <v>121</v>
      </c>
      <c r="M3266" t="s">
        <v>122</v>
      </c>
      <c r="N3266" t="s">
        <v>154</v>
      </c>
      <c r="O3266" t="s">
        <v>82</v>
      </c>
      <c r="P3266" t="str">
        <f>"4170066414                    "</f>
        <v xml:space="preserve">4170066414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22.36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70.959999999999994</v>
      </c>
      <c r="BM3266">
        <v>10.64</v>
      </c>
      <c r="BN3266">
        <v>81.599999999999994</v>
      </c>
      <c r="BO3266">
        <v>81.599999999999994</v>
      </c>
      <c r="BQ3266" t="s">
        <v>155</v>
      </c>
      <c r="BR3266" t="s">
        <v>97</v>
      </c>
      <c r="BS3266" s="3">
        <v>45959</v>
      </c>
      <c r="BT3266" s="4">
        <v>0.4</v>
      </c>
      <c r="BU3266" t="s">
        <v>1271</v>
      </c>
      <c r="BV3266" t="s">
        <v>86</v>
      </c>
      <c r="BY3266">
        <v>1200</v>
      </c>
      <c r="CA3266" t="s">
        <v>157</v>
      </c>
      <c r="CC3266" t="s">
        <v>122</v>
      </c>
      <c r="CD3266">
        <v>4052</v>
      </c>
      <c r="CE3266" t="s">
        <v>147</v>
      </c>
      <c r="CF3266" s="3">
        <v>45960</v>
      </c>
      <c r="CI3266">
        <v>1</v>
      </c>
      <c r="CJ3266">
        <v>1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"080068784075"</f>
        <v>080068784075</v>
      </c>
      <c r="F3267" s="3">
        <v>45958</v>
      </c>
      <c r="G3267">
        <v>202607</v>
      </c>
      <c r="H3267" t="s">
        <v>79</v>
      </c>
      <c r="I3267" t="s">
        <v>80</v>
      </c>
      <c r="J3267" t="s">
        <v>91</v>
      </c>
      <c r="K3267" t="s">
        <v>78</v>
      </c>
      <c r="L3267" t="s">
        <v>108</v>
      </c>
      <c r="M3267" t="s">
        <v>109</v>
      </c>
      <c r="N3267" t="s">
        <v>291</v>
      </c>
      <c r="O3267" t="s">
        <v>82</v>
      </c>
      <c r="P3267" t="str">
        <f>"4170066422                    "</f>
        <v xml:space="preserve">4170066422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22.36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70.959999999999994</v>
      </c>
      <c r="BM3267">
        <v>10.64</v>
      </c>
      <c r="BN3267">
        <v>81.599999999999994</v>
      </c>
      <c r="BO3267">
        <v>81.599999999999994</v>
      </c>
      <c r="BQ3267" t="s">
        <v>292</v>
      </c>
      <c r="BR3267" t="s">
        <v>97</v>
      </c>
      <c r="BS3267" s="3">
        <v>45959</v>
      </c>
      <c r="BT3267" s="4">
        <v>0.39583333333333331</v>
      </c>
      <c r="BU3267" t="s">
        <v>2019</v>
      </c>
      <c r="BV3267" t="s">
        <v>86</v>
      </c>
      <c r="BY3267">
        <v>1200</v>
      </c>
      <c r="CA3267" t="s">
        <v>294</v>
      </c>
      <c r="CC3267" t="s">
        <v>109</v>
      </c>
      <c r="CD3267">
        <v>6001</v>
      </c>
      <c r="CE3267" t="s">
        <v>147</v>
      </c>
      <c r="CF3267" s="3">
        <v>45959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"080068784105"</f>
        <v>080068784105</v>
      </c>
      <c r="F3268" s="3">
        <v>45958</v>
      </c>
      <c r="G3268">
        <v>202607</v>
      </c>
      <c r="H3268" t="s">
        <v>79</v>
      </c>
      <c r="I3268" t="s">
        <v>80</v>
      </c>
      <c r="J3268" t="s">
        <v>91</v>
      </c>
      <c r="K3268" t="s">
        <v>78</v>
      </c>
      <c r="L3268" t="s">
        <v>108</v>
      </c>
      <c r="M3268" t="s">
        <v>109</v>
      </c>
      <c r="N3268" t="s">
        <v>315</v>
      </c>
      <c r="O3268" t="s">
        <v>82</v>
      </c>
      <c r="P3268" t="str">
        <f>"4170066396                    "</f>
        <v xml:space="preserve">4170066396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22.36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70.959999999999994</v>
      </c>
      <c r="BM3268">
        <v>10.64</v>
      </c>
      <c r="BN3268">
        <v>81.599999999999994</v>
      </c>
      <c r="BO3268">
        <v>81.599999999999994</v>
      </c>
      <c r="BQ3268" t="s">
        <v>1351</v>
      </c>
      <c r="BR3268" t="s">
        <v>97</v>
      </c>
      <c r="BS3268" s="3">
        <v>45959</v>
      </c>
      <c r="BT3268" s="4">
        <v>0.32916666666666666</v>
      </c>
      <c r="BU3268" t="s">
        <v>3523</v>
      </c>
      <c r="BV3268" t="s">
        <v>86</v>
      </c>
      <c r="BY3268">
        <v>1200</v>
      </c>
      <c r="CA3268" t="s">
        <v>113</v>
      </c>
      <c r="CC3268" t="s">
        <v>109</v>
      </c>
      <c r="CD3268">
        <v>6045</v>
      </c>
      <c r="CE3268" t="s">
        <v>147</v>
      </c>
      <c r="CF3268" s="3">
        <v>45959</v>
      </c>
      <c r="CI3268">
        <v>1</v>
      </c>
      <c r="CJ3268">
        <v>1</v>
      </c>
      <c r="CK3268">
        <v>21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"080068784584"</f>
        <v>080068784584</v>
      </c>
      <c r="F3269" s="3">
        <v>45958</v>
      </c>
      <c r="G3269">
        <v>202607</v>
      </c>
      <c r="H3269" t="s">
        <v>79</v>
      </c>
      <c r="I3269" t="s">
        <v>80</v>
      </c>
      <c r="J3269" t="s">
        <v>91</v>
      </c>
      <c r="K3269" t="s">
        <v>78</v>
      </c>
      <c r="L3269" t="s">
        <v>788</v>
      </c>
      <c r="M3269" t="s">
        <v>789</v>
      </c>
      <c r="N3269" t="s">
        <v>790</v>
      </c>
      <c r="O3269" t="s">
        <v>82</v>
      </c>
      <c r="P3269" t="str">
        <f>"4170066376                    "</f>
        <v xml:space="preserve">4170066376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268.24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6</v>
      </c>
      <c r="BJ3269">
        <v>13.4</v>
      </c>
      <c r="BK3269">
        <v>13.5</v>
      </c>
      <c r="BL3269">
        <v>851.38</v>
      </c>
      <c r="BM3269">
        <v>127.71</v>
      </c>
      <c r="BN3269">
        <v>979.09</v>
      </c>
      <c r="BO3269">
        <v>979.09</v>
      </c>
      <c r="BQ3269" t="s">
        <v>791</v>
      </c>
      <c r="BR3269" t="s">
        <v>97</v>
      </c>
      <c r="BS3269" s="3">
        <v>45959</v>
      </c>
      <c r="BT3269" s="4">
        <v>0.65347222222222223</v>
      </c>
      <c r="BU3269" t="s">
        <v>792</v>
      </c>
      <c r="BV3269" t="s">
        <v>90</v>
      </c>
      <c r="BY3269">
        <v>66960</v>
      </c>
      <c r="CA3269" t="s">
        <v>793</v>
      </c>
      <c r="CC3269" t="s">
        <v>789</v>
      </c>
      <c r="CD3269">
        <v>3290</v>
      </c>
      <c r="CE3269" t="s">
        <v>191</v>
      </c>
      <c r="CF3269" s="3">
        <v>45960</v>
      </c>
      <c r="CI3269">
        <v>1</v>
      </c>
      <c r="CJ3269">
        <v>1</v>
      </c>
      <c r="CK3269">
        <v>23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"080068784626"</f>
        <v>080068784626</v>
      </c>
      <c r="F3270" s="3">
        <v>45958</v>
      </c>
      <c r="G3270">
        <v>202607</v>
      </c>
      <c r="H3270" t="s">
        <v>79</v>
      </c>
      <c r="I3270" t="s">
        <v>80</v>
      </c>
      <c r="J3270" t="s">
        <v>91</v>
      </c>
      <c r="K3270" t="s">
        <v>78</v>
      </c>
      <c r="L3270" t="s">
        <v>168</v>
      </c>
      <c r="M3270" t="s">
        <v>169</v>
      </c>
      <c r="N3270" t="s">
        <v>873</v>
      </c>
      <c r="O3270" t="s">
        <v>95</v>
      </c>
      <c r="P3270" t="str">
        <f>"4170066421                    "</f>
        <v xml:space="preserve">4170066421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43.23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2.4</v>
      </c>
      <c r="BK3270">
        <v>3</v>
      </c>
      <c r="BL3270">
        <v>143.08000000000001</v>
      </c>
      <c r="BM3270">
        <v>21.46</v>
      </c>
      <c r="BN3270">
        <v>164.54</v>
      </c>
      <c r="BO3270">
        <v>164.54</v>
      </c>
      <c r="BQ3270" t="s">
        <v>874</v>
      </c>
      <c r="BR3270" t="s">
        <v>97</v>
      </c>
      <c r="BS3270" s="3">
        <v>45959</v>
      </c>
      <c r="BT3270" s="4">
        <v>0.59027777777777779</v>
      </c>
      <c r="BU3270" t="s">
        <v>1723</v>
      </c>
      <c r="BV3270" t="s">
        <v>86</v>
      </c>
      <c r="BY3270">
        <v>12032</v>
      </c>
      <c r="CA3270" s="5" t="s">
        <v>2424</v>
      </c>
      <c r="CC3270" t="s">
        <v>169</v>
      </c>
      <c r="CD3270" s="5" t="s">
        <v>877</v>
      </c>
      <c r="CE3270" t="s">
        <v>107</v>
      </c>
      <c r="CF3270" s="3">
        <v>45959</v>
      </c>
      <c r="CI3270">
        <v>1</v>
      </c>
      <c r="CJ3270">
        <v>1</v>
      </c>
      <c r="CK3270">
        <v>41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"080068784668"</f>
        <v>080068784668</v>
      </c>
      <c r="F3271" s="3">
        <v>45958</v>
      </c>
      <c r="G3271">
        <v>202607</v>
      </c>
      <c r="H3271" t="s">
        <v>79</v>
      </c>
      <c r="I3271" t="s">
        <v>80</v>
      </c>
      <c r="J3271" t="s">
        <v>91</v>
      </c>
      <c r="K3271" t="s">
        <v>78</v>
      </c>
      <c r="L3271" t="s">
        <v>174</v>
      </c>
      <c r="M3271" t="s">
        <v>175</v>
      </c>
      <c r="N3271" t="s">
        <v>176</v>
      </c>
      <c r="O3271" t="s">
        <v>82</v>
      </c>
      <c r="P3271" t="str">
        <f>"4170066360                    "</f>
        <v xml:space="preserve">4170066360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17.46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55.42</v>
      </c>
      <c r="BM3271">
        <v>8.31</v>
      </c>
      <c r="BN3271">
        <v>63.73</v>
      </c>
      <c r="BO3271">
        <v>63.73</v>
      </c>
      <c r="BQ3271" t="s">
        <v>177</v>
      </c>
      <c r="BR3271" t="s">
        <v>97</v>
      </c>
      <c r="BS3271" s="3">
        <v>45959</v>
      </c>
      <c r="BT3271" s="4">
        <v>0.62708333333333333</v>
      </c>
      <c r="BU3271" t="s">
        <v>3481</v>
      </c>
      <c r="BV3271" t="s">
        <v>90</v>
      </c>
      <c r="BY3271">
        <v>1230</v>
      </c>
      <c r="CC3271" t="s">
        <v>175</v>
      </c>
      <c r="CD3271">
        <v>1540</v>
      </c>
      <c r="CE3271" t="s">
        <v>147</v>
      </c>
      <c r="CF3271" s="3">
        <v>45960</v>
      </c>
      <c r="CI3271">
        <v>1</v>
      </c>
      <c r="CJ3271">
        <v>1</v>
      </c>
      <c r="CK3271">
        <v>22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"080068784699"</f>
        <v>080068784699</v>
      </c>
      <c r="F3272" s="3">
        <v>45958</v>
      </c>
      <c r="G3272">
        <v>202607</v>
      </c>
      <c r="H3272" t="s">
        <v>79</v>
      </c>
      <c r="I3272" t="s">
        <v>80</v>
      </c>
      <c r="J3272" t="s">
        <v>91</v>
      </c>
      <c r="K3272" t="s">
        <v>78</v>
      </c>
      <c r="L3272" t="s">
        <v>233</v>
      </c>
      <c r="M3272" t="s">
        <v>234</v>
      </c>
      <c r="N3272" t="s">
        <v>908</v>
      </c>
      <c r="O3272" t="s">
        <v>95</v>
      </c>
      <c r="P3272" t="str">
        <f>"4170066409                    "</f>
        <v xml:space="preserve">4170066409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43.23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7</v>
      </c>
      <c r="BJ3272">
        <v>5.6</v>
      </c>
      <c r="BK3272">
        <v>7</v>
      </c>
      <c r="BL3272">
        <v>143.08000000000001</v>
      </c>
      <c r="BM3272">
        <v>21.46</v>
      </c>
      <c r="BN3272">
        <v>164.54</v>
      </c>
      <c r="BO3272">
        <v>164.54</v>
      </c>
      <c r="BQ3272" t="s">
        <v>909</v>
      </c>
      <c r="BR3272" t="s">
        <v>97</v>
      </c>
      <c r="BS3272" s="3">
        <v>45959</v>
      </c>
      <c r="BT3272" s="4">
        <v>0.48402777777777778</v>
      </c>
      <c r="BU3272" t="s">
        <v>3522</v>
      </c>
      <c r="BV3272" t="s">
        <v>86</v>
      </c>
      <c r="BY3272">
        <v>28080</v>
      </c>
      <c r="CA3272">
        <v>8203305410088</v>
      </c>
      <c r="CC3272" t="s">
        <v>234</v>
      </c>
      <c r="CD3272" s="5" t="s">
        <v>238</v>
      </c>
      <c r="CE3272" t="s">
        <v>107</v>
      </c>
      <c r="CF3272" s="3">
        <v>45959</v>
      </c>
      <c r="CI3272">
        <v>1</v>
      </c>
      <c r="CJ3272">
        <v>1</v>
      </c>
      <c r="CK3272">
        <v>41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"080068784848"</f>
        <v>080068784848</v>
      </c>
      <c r="F3273" s="3">
        <v>45958</v>
      </c>
      <c r="G3273">
        <v>202607</v>
      </c>
      <c r="H3273" t="s">
        <v>79</v>
      </c>
      <c r="I3273" t="s">
        <v>80</v>
      </c>
      <c r="J3273" t="s">
        <v>91</v>
      </c>
      <c r="K3273" t="s">
        <v>78</v>
      </c>
      <c r="L3273" t="s">
        <v>206</v>
      </c>
      <c r="M3273" t="s">
        <v>207</v>
      </c>
      <c r="N3273" t="s">
        <v>3457</v>
      </c>
      <c r="O3273" t="s">
        <v>82</v>
      </c>
      <c r="P3273" t="str">
        <f>"4170066404                    "</f>
        <v xml:space="preserve">4170066404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22.36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70.959999999999994</v>
      </c>
      <c r="BM3273">
        <v>10.64</v>
      </c>
      <c r="BN3273">
        <v>81.599999999999994</v>
      </c>
      <c r="BO3273">
        <v>81.599999999999994</v>
      </c>
      <c r="BQ3273" t="s">
        <v>3458</v>
      </c>
      <c r="BR3273" t="s">
        <v>97</v>
      </c>
      <c r="BS3273" s="3">
        <v>45959</v>
      </c>
      <c r="BT3273" s="4">
        <v>0.42291666666666666</v>
      </c>
      <c r="BU3273" t="s">
        <v>658</v>
      </c>
      <c r="BV3273" t="s">
        <v>86</v>
      </c>
      <c r="BY3273">
        <v>1200</v>
      </c>
      <c r="CA3273" t="s">
        <v>211</v>
      </c>
      <c r="CC3273" t="s">
        <v>207</v>
      </c>
      <c r="CD3273">
        <v>7441</v>
      </c>
      <c r="CE3273" t="s">
        <v>147</v>
      </c>
      <c r="CF3273" s="3">
        <v>45960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"080068784860"</f>
        <v>080068784860</v>
      </c>
      <c r="F3274" s="3">
        <v>45958</v>
      </c>
      <c r="G3274">
        <v>202607</v>
      </c>
      <c r="H3274" t="s">
        <v>79</v>
      </c>
      <c r="I3274" t="s">
        <v>80</v>
      </c>
      <c r="J3274" t="s">
        <v>91</v>
      </c>
      <c r="K3274" t="s">
        <v>78</v>
      </c>
      <c r="L3274" t="s">
        <v>1765</v>
      </c>
      <c r="M3274" t="s">
        <v>1766</v>
      </c>
      <c r="N3274" t="s">
        <v>2898</v>
      </c>
      <c r="O3274" t="s">
        <v>82</v>
      </c>
      <c r="P3274" t="str">
        <f>"4170066391                    "</f>
        <v xml:space="preserve">4170066391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72.650000000000006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2</v>
      </c>
      <c r="BJ3274">
        <v>3.5</v>
      </c>
      <c r="BK3274">
        <v>3.5</v>
      </c>
      <c r="BL3274">
        <v>230.59</v>
      </c>
      <c r="BM3274">
        <v>34.590000000000003</v>
      </c>
      <c r="BN3274">
        <v>265.18</v>
      </c>
      <c r="BO3274">
        <v>265.18</v>
      </c>
      <c r="BQ3274" t="s">
        <v>2899</v>
      </c>
      <c r="BR3274" t="s">
        <v>97</v>
      </c>
      <c r="BS3274" s="3">
        <v>45959</v>
      </c>
      <c r="BT3274" s="4">
        <v>0.4375</v>
      </c>
      <c r="BU3274" t="s">
        <v>3524</v>
      </c>
      <c r="BV3274" t="s">
        <v>86</v>
      </c>
      <c r="BY3274">
        <v>17556</v>
      </c>
      <c r="CA3274" t="s">
        <v>2109</v>
      </c>
      <c r="CC3274" t="s">
        <v>1766</v>
      </c>
      <c r="CD3274">
        <v>1034</v>
      </c>
      <c r="CE3274" t="s">
        <v>107</v>
      </c>
      <c r="CF3274" s="3">
        <v>45959</v>
      </c>
      <c r="CI3274">
        <v>1</v>
      </c>
      <c r="CJ3274">
        <v>1</v>
      </c>
      <c r="CK3274">
        <v>23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"080068784867"</f>
        <v>080068784867</v>
      </c>
      <c r="F3275" s="3">
        <v>45958</v>
      </c>
      <c r="G3275">
        <v>202607</v>
      </c>
      <c r="H3275" t="s">
        <v>79</v>
      </c>
      <c r="I3275" t="s">
        <v>80</v>
      </c>
      <c r="J3275" t="s">
        <v>91</v>
      </c>
      <c r="K3275" t="s">
        <v>78</v>
      </c>
      <c r="L3275" t="s">
        <v>121</v>
      </c>
      <c r="M3275" t="s">
        <v>122</v>
      </c>
      <c r="N3275" t="s">
        <v>154</v>
      </c>
      <c r="O3275" t="s">
        <v>82</v>
      </c>
      <c r="P3275" t="str">
        <f>"4170066390                    "</f>
        <v xml:space="preserve">4170066390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22.36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70.959999999999994</v>
      </c>
      <c r="BM3275">
        <v>10.64</v>
      </c>
      <c r="BN3275">
        <v>81.599999999999994</v>
      </c>
      <c r="BO3275">
        <v>81.599999999999994</v>
      </c>
      <c r="BQ3275" t="s">
        <v>155</v>
      </c>
      <c r="BR3275" t="s">
        <v>97</v>
      </c>
      <c r="BS3275" s="3">
        <v>45959</v>
      </c>
      <c r="BT3275" s="4">
        <v>0.39930555555555558</v>
      </c>
      <c r="BU3275" t="s">
        <v>2790</v>
      </c>
      <c r="BV3275" t="s">
        <v>86</v>
      </c>
      <c r="BY3275">
        <v>1200</v>
      </c>
      <c r="CA3275" t="s">
        <v>157</v>
      </c>
      <c r="CC3275" t="s">
        <v>122</v>
      </c>
      <c r="CD3275">
        <v>4052</v>
      </c>
      <c r="CE3275" t="s">
        <v>147</v>
      </c>
      <c r="CF3275" s="3">
        <v>45960</v>
      </c>
      <c r="CI3275">
        <v>1</v>
      </c>
      <c r="CJ3275">
        <v>1</v>
      </c>
      <c r="CK3275">
        <v>21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"080068784888"</f>
        <v>080068784888</v>
      </c>
      <c r="F3276" s="3">
        <v>45958</v>
      </c>
      <c r="G3276">
        <v>202607</v>
      </c>
      <c r="H3276" t="s">
        <v>79</v>
      </c>
      <c r="I3276" t="s">
        <v>80</v>
      </c>
      <c r="J3276" t="s">
        <v>91</v>
      </c>
      <c r="K3276" t="s">
        <v>78</v>
      </c>
      <c r="L3276" t="s">
        <v>333</v>
      </c>
      <c r="M3276" t="s">
        <v>334</v>
      </c>
      <c r="N3276" t="s">
        <v>1388</v>
      </c>
      <c r="O3276" t="s">
        <v>82</v>
      </c>
      <c r="P3276" t="str">
        <f>"4170066345                    "</f>
        <v xml:space="preserve">4170066345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22.36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70.959999999999994</v>
      </c>
      <c r="BM3276">
        <v>10.64</v>
      </c>
      <c r="BN3276">
        <v>81.599999999999994</v>
      </c>
      <c r="BO3276">
        <v>81.599999999999994</v>
      </c>
      <c r="BQ3276" t="s">
        <v>1389</v>
      </c>
      <c r="BR3276" t="s">
        <v>97</v>
      </c>
      <c r="BS3276" s="3">
        <v>45959</v>
      </c>
      <c r="BT3276" s="4">
        <v>0.42430555555555555</v>
      </c>
      <c r="BU3276" t="s">
        <v>3525</v>
      </c>
      <c r="BV3276" t="s">
        <v>86</v>
      </c>
      <c r="BY3276">
        <v>1200</v>
      </c>
      <c r="CA3276" t="s">
        <v>802</v>
      </c>
      <c r="CC3276" t="s">
        <v>334</v>
      </c>
      <c r="CD3276">
        <v>6220</v>
      </c>
      <c r="CE3276" t="s">
        <v>147</v>
      </c>
      <c r="CF3276" s="3">
        <v>45959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"080068784909"</f>
        <v>080068784909</v>
      </c>
      <c r="F3277" s="3">
        <v>45958</v>
      </c>
      <c r="G3277">
        <v>202607</v>
      </c>
      <c r="H3277" t="s">
        <v>79</v>
      </c>
      <c r="I3277" t="s">
        <v>80</v>
      </c>
      <c r="J3277" t="s">
        <v>91</v>
      </c>
      <c r="K3277" t="s">
        <v>78</v>
      </c>
      <c r="L3277" t="s">
        <v>121</v>
      </c>
      <c r="M3277" t="s">
        <v>122</v>
      </c>
      <c r="N3277" t="s">
        <v>1993</v>
      </c>
      <c r="O3277" t="s">
        <v>82</v>
      </c>
      <c r="P3277" t="str">
        <f>"4170066413                    "</f>
        <v xml:space="preserve">4170066413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22.36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70.959999999999994</v>
      </c>
      <c r="BM3277">
        <v>10.64</v>
      </c>
      <c r="BN3277">
        <v>81.599999999999994</v>
      </c>
      <c r="BO3277">
        <v>81.599999999999994</v>
      </c>
      <c r="BQ3277" t="s">
        <v>1994</v>
      </c>
      <c r="BR3277" t="s">
        <v>97</v>
      </c>
      <c r="BS3277" s="3">
        <v>45959</v>
      </c>
      <c r="BT3277" s="4">
        <v>0.58333333333333337</v>
      </c>
      <c r="BU3277" t="s">
        <v>1995</v>
      </c>
      <c r="BV3277" t="s">
        <v>90</v>
      </c>
      <c r="BW3277" t="s">
        <v>771</v>
      </c>
      <c r="BX3277" t="s">
        <v>137</v>
      </c>
      <c r="BY3277">
        <v>1200</v>
      </c>
      <c r="CA3277" t="s">
        <v>1996</v>
      </c>
      <c r="CC3277" t="s">
        <v>122</v>
      </c>
      <c r="CD3277">
        <v>4068</v>
      </c>
      <c r="CE3277" t="s">
        <v>147</v>
      </c>
      <c r="CF3277" s="3">
        <v>45960</v>
      </c>
      <c r="CI3277">
        <v>1</v>
      </c>
      <c r="CJ3277">
        <v>1</v>
      </c>
      <c r="CK3277">
        <v>21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"080068785135"</f>
        <v>080068785135</v>
      </c>
      <c r="F3278" s="3">
        <v>45958</v>
      </c>
      <c r="G3278">
        <v>202607</v>
      </c>
      <c r="H3278" t="s">
        <v>79</v>
      </c>
      <c r="I3278" t="s">
        <v>80</v>
      </c>
      <c r="J3278" t="s">
        <v>91</v>
      </c>
      <c r="K3278" t="s">
        <v>78</v>
      </c>
      <c r="L3278" t="s">
        <v>148</v>
      </c>
      <c r="M3278" t="s">
        <v>149</v>
      </c>
      <c r="N3278" t="s">
        <v>497</v>
      </c>
      <c r="O3278" t="s">
        <v>95</v>
      </c>
      <c r="P3278" t="str">
        <f>"4170066262                    "</f>
        <v xml:space="preserve">4170066262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157.21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16.739999999999998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71</v>
      </c>
      <c r="BJ3278">
        <v>141.5</v>
      </c>
      <c r="BK3278">
        <v>142</v>
      </c>
      <c r="BL3278">
        <v>521.58000000000004</v>
      </c>
      <c r="BM3278">
        <v>78.239999999999995</v>
      </c>
      <c r="BN3278">
        <v>599.82000000000005</v>
      </c>
      <c r="BO3278">
        <v>599.82000000000005</v>
      </c>
      <c r="BQ3278" t="s">
        <v>498</v>
      </c>
      <c r="BR3278" t="s">
        <v>97</v>
      </c>
      <c r="BS3278" s="3">
        <v>45959</v>
      </c>
      <c r="BT3278" s="4">
        <v>0.43958333333333333</v>
      </c>
      <c r="BU3278" t="s">
        <v>1803</v>
      </c>
      <c r="BV3278" t="s">
        <v>86</v>
      </c>
      <c r="BY3278">
        <v>707373</v>
      </c>
      <c r="BZ3278" t="s">
        <v>30</v>
      </c>
      <c r="CC3278" t="s">
        <v>149</v>
      </c>
      <c r="CD3278">
        <v>2188</v>
      </c>
      <c r="CE3278" t="s">
        <v>1122</v>
      </c>
      <c r="CF3278" s="3">
        <v>45960</v>
      </c>
      <c r="CI3278">
        <v>1</v>
      </c>
      <c r="CJ3278">
        <v>1</v>
      </c>
      <c r="CK3278">
        <v>42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"080068785289"</f>
        <v>080068785289</v>
      </c>
      <c r="F3279" s="3">
        <v>45958</v>
      </c>
      <c r="G3279">
        <v>202607</v>
      </c>
      <c r="H3279" t="s">
        <v>79</v>
      </c>
      <c r="I3279" t="s">
        <v>80</v>
      </c>
      <c r="J3279" t="s">
        <v>91</v>
      </c>
      <c r="K3279" t="s">
        <v>78</v>
      </c>
      <c r="L3279" t="s">
        <v>446</v>
      </c>
      <c r="M3279" t="s">
        <v>447</v>
      </c>
      <c r="N3279" t="s">
        <v>3526</v>
      </c>
      <c r="O3279" t="s">
        <v>82</v>
      </c>
      <c r="P3279" t="str">
        <f>"4170066426                    "</f>
        <v xml:space="preserve">4170066426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43.31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137.47</v>
      </c>
      <c r="BM3279">
        <v>20.62</v>
      </c>
      <c r="BN3279">
        <v>158.09</v>
      </c>
      <c r="BO3279">
        <v>158.09</v>
      </c>
      <c r="BQ3279" t="s">
        <v>3527</v>
      </c>
      <c r="BR3279" t="s">
        <v>97</v>
      </c>
      <c r="BS3279" s="3">
        <v>45959</v>
      </c>
      <c r="BT3279" s="4">
        <v>0.34722222222222221</v>
      </c>
      <c r="BU3279" t="s">
        <v>3528</v>
      </c>
      <c r="BV3279" t="s">
        <v>86</v>
      </c>
      <c r="BY3279">
        <v>1200</v>
      </c>
      <c r="CA3279" t="s">
        <v>3256</v>
      </c>
      <c r="CC3279" t="s">
        <v>447</v>
      </c>
      <c r="CD3279">
        <v>7130</v>
      </c>
      <c r="CE3279" t="s">
        <v>147</v>
      </c>
      <c r="CF3279" s="3">
        <v>45960</v>
      </c>
      <c r="CI3279">
        <v>1</v>
      </c>
      <c r="CJ3279">
        <v>1</v>
      </c>
      <c r="CK3279">
        <v>23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"080068785382"</f>
        <v>080068785382</v>
      </c>
      <c r="F3280" s="3">
        <v>45958</v>
      </c>
      <c r="G3280">
        <v>202607</v>
      </c>
      <c r="H3280" t="s">
        <v>79</v>
      </c>
      <c r="I3280" t="s">
        <v>80</v>
      </c>
      <c r="J3280" t="s">
        <v>91</v>
      </c>
      <c r="K3280" t="s">
        <v>78</v>
      </c>
      <c r="L3280" t="s">
        <v>206</v>
      </c>
      <c r="M3280" t="s">
        <v>207</v>
      </c>
      <c r="N3280" t="s">
        <v>3529</v>
      </c>
      <c r="O3280" t="s">
        <v>82</v>
      </c>
      <c r="P3280" t="str">
        <f>"4170066425                    "</f>
        <v xml:space="preserve">4170066425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22.36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70.959999999999994</v>
      </c>
      <c r="BM3280">
        <v>10.64</v>
      </c>
      <c r="BN3280">
        <v>81.599999999999994</v>
      </c>
      <c r="BO3280">
        <v>81.599999999999994</v>
      </c>
      <c r="BQ3280" t="s">
        <v>3530</v>
      </c>
      <c r="BR3280" t="s">
        <v>97</v>
      </c>
      <c r="BS3280" s="3">
        <v>45959</v>
      </c>
      <c r="BT3280" s="4">
        <v>0.43055555555555558</v>
      </c>
      <c r="BU3280" t="s">
        <v>3215</v>
      </c>
      <c r="BV3280" t="s">
        <v>86</v>
      </c>
      <c r="BY3280">
        <v>1200</v>
      </c>
      <c r="CC3280" t="s">
        <v>207</v>
      </c>
      <c r="CD3280">
        <v>7405</v>
      </c>
      <c r="CE3280" t="s">
        <v>147</v>
      </c>
      <c r="CF3280" s="3">
        <v>45960</v>
      </c>
      <c r="CI3280">
        <v>1</v>
      </c>
      <c r="CJ3280">
        <v>1</v>
      </c>
      <c r="CK3280">
        <v>21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"080068785398"</f>
        <v>080068785398</v>
      </c>
      <c r="F3281" s="3">
        <v>45958</v>
      </c>
      <c r="G3281">
        <v>202607</v>
      </c>
      <c r="H3281" t="s">
        <v>79</v>
      </c>
      <c r="I3281" t="s">
        <v>80</v>
      </c>
      <c r="J3281" t="s">
        <v>91</v>
      </c>
      <c r="K3281" t="s">
        <v>78</v>
      </c>
      <c r="L3281" t="s">
        <v>121</v>
      </c>
      <c r="M3281" t="s">
        <v>122</v>
      </c>
      <c r="N3281" t="s">
        <v>123</v>
      </c>
      <c r="O3281" t="s">
        <v>82</v>
      </c>
      <c r="P3281" t="str">
        <f>"4170066427                    "</f>
        <v xml:space="preserve">4170066427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22.36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70.959999999999994</v>
      </c>
      <c r="BM3281">
        <v>10.64</v>
      </c>
      <c r="BN3281">
        <v>81.599999999999994</v>
      </c>
      <c r="BO3281">
        <v>81.599999999999994</v>
      </c>
      <c r="BQ3281" t="s">
        <v>124</v>
      </c>
      <c r="BR3281" t="s">
        <v>97</v>
      </c>
      <c r="BS3281" s="3">
        <v>45959</v>
      </c>
      <c r="BT3281" s="4">
        <v>0.34305555555555556</v>
      </c>
      <c r="BU3281" t="s">
        <v>3178</v>
      </c>
      <c r="BV3281" t="s">
        <v>86</v>
      </c>
      <c r="BY3281">
        <v>1200</v>
      </c>
      <c r="CA3281" t="s">
        <v>126</v>
      </c>
      <c r="CC3281" t="s">
        <v>122</v>
      </c>
      <c r="CD3281">
        <v>4000</v>
      </c>
      <c r="CE3281" t="s">
        <v>147</v>
      </c>
      <c r="CF3281" s="3">
        <v>45959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"080068785431"</f>
        <v>080068785431</v>
      </c>
      <c r="F3282" s="3">
        <v>45958</v>
      </c>
      <c r="G3282">
        <v>202607</v>
      </c>
      <c r="H3282" t="s">
        <v>79</v>
      </c>
      <c r="I3282" t="s">
        <v>80</v>
      </c>
      <c r="J3282" t="s">
        <v>91</v>
      </c>
      <c r="K3282" t="s">
        <v>78</v>
      </c>
      <c r="L3282" t="s">
        <v>1095</v>
      </c>
      <c r="M3282" t="s">
        <v>1096</v>
      </c>
      <c r="N3282" t="s">
        <v>1197</v>
      </c>
      <c r="O3282" t="s">
        <v>82</v>
      </c>
      <c r="P3282" t="str">
        <f>"4170066424                    "</f>
        <v xml:space="preserve">4170066424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43.31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137.47</v>
      </c>
      <c r="BM3282">
        <v>20.62</v>
      </c>
      <c r="BN3282">
        <v>158.09</v>
      </c>
      <c r="BO3282">
        <v>158.09</v>
      </c>
      <c r="BQ3282" t="s">
        <v>1198</v>
      </c>
      <c r="BR3282" t="s">
        <v>97</v>
      </c>
      <c r="BS3282" s="3">
        <v>45959</v>
      </c>
      <c r="BT3282" s="4">
        <v>0.43402777777777779</v>
      </c>
      <c r="BU3282" t="s">
        <v>3417</v>
      </c>
      <c r="BV3282" t="s">
        <v>86</v>
      </c>
      <c r="BY3282">
        <v>1200</v>
      </c>
      <c r="CA3282" t="s">
        <v>3076</v>
      </c>
      <c r="CC3282" t="s">
        <v>1096</v>
      </c>
      <c r="CD3282">
        <v>2302</v>
      </c>
      <c r="CE3282" t="s">
        <v>147</v>
      </c>
      <c r="CF3282" s="3">
        <v>45960</v>
      </c>
      <c r="CI3282">
        <v>1</v>
      </c>
      <c r="CJ3282">
        <v>1</v>
      </c>
      <c r="CK3282">
        <v>23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"080068785455"</f>
        <v>080068785455</v>
      </c>
      <c r="F3283" s="3">
        <v>45958</v>
      </c>
      <c r="G3283">
        <v>202607</v>
      </c>
      <c r="H3283" t="s">
        <v>79</v>
      </c>
      <c r="I3283" t="s">
        <v>80</v>
      </c>
      <c r="J3283" t="s">
        <v>91</v>
      </c>
      <c r="K3283" t="s">
        <v>78</v>
      </c>
      <c r="L3283" t="s">
        <v>1008</v>
      </c>
      <c r="M3283" t="s">
        <v>1009</v>
      </c>
      <c r="N3283" t="s">
        <v>1344</v>
      </c>
      <c r="O3283" t="s">
        <v>226</v>
      </c>
      <c r="P3283" t="str">
        <f>"4170066388                    "</f>
        <v xml:space="preserve">4170066388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163.53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16.739999999999998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2</v>
      </c>
      <c r="BI3283">
        <v>9</v>
      </c>
      <c r="BJ3283">
        <v>5.9</v>
      </c>
      <c r="BK3283">
        <v>9</v>
      </c>
      <c r="BL3283">
        <v>535.76</v>
      </c>
      <c r="BM3283">
        <v>80.36</v>
      </c>
      <c r="BN3283">
        <v>616.12</v>
      </c>
      <c r="BO3283">
        <v>616.12</v>
      </c>
      <c r="BQ3283" t="s">
        <v>1345</v>
      </c>
      <c r="BR3283" t="s">
        <v>97</v>
      </c>
      <c r="BS3283" s="3">
        <v>45959</v>
      </c>
      <c r="BT3283" s="4">
        <v>0.50694444444444442</v>
      </c>
      <c r="BU3283" t="s">
        <v>1346</v>
      </c>
      <c r="BV3283" t="s">
        <v>86</v>
      </c>
      <c r="BY3283">
        <v>29312</v>
      </c>
      <c r="BZ3283" t="s">
        <v>30</v>
      </c>
      <c r="CA3283" t="s">
        <v>2194</v>
      </c>
      <c r="CC3283" t="s">
        <v>1009</v>
      </c>
      <c r="CD3283">
        <v>1759</v>
      </c>
      <c r="CE3283" t="s">
        <v>191</v>
      </c>
      <c r="CF3283" s="3">
        <v>45960</v>
      </c>
      <c r="CI3283">
        <v>1</v>
      </c>
      <c r="CJ3283">
        <v>1</v>
      </c>
      <c r="CK3283">
        <v>34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"080068785511"</f>
        <v>080068785511</v>
      </c>
      <c r="F3284" s="3">
        <v>45958</v>
      </c>
      <c r="G3284">
        <v>202607</v>
      </c>
      <c r="H3284" t="s">
        <v>79</v>
      </c>
      <c r="I3284" t="s">
        <v>80</v>
      </c>
      <c r="J3284" t="s">
        <v>91</v>
      </c>
      <c r="K3284" t="s">
        <v>78</v>
      </c>
      <c r="L3284" t="s">
        <v>1095</v>
      </c>
      <c r="M3284" t="s">
        <v>1096</v>
      </c>
      <c r="N3284" t="s">
        <v>1197</v>
      </c>
      <c r="O3284" t="s">
        <v>82</v>
      </c>
      <c r="P3284" t="str">
        <f>"4170066392                    "</f>
        <v xml:space="preserve">4170066392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43.31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1.1000000000000001</v>
      </c>
      <c r="BK3284">
        <v>1.5</v>
      </c>
      <c r="BL3284">
        <v>137.47</v>
      </c>
      <c r="BM3284">
        <v>20.62</v>
      </c>
      <c r="BN3284">
        <v>158.09</v>
      </c>
      <c r="BO3284">
        <v>158.09</v>
      </c>
      <c r="BQ3284" t="s">
        <v>1198</v>
      </c>
      <c r="BR3284" t="s">
        <v>97</v>
      </c>
      <c r="BS3284" s="3">
        <v>45959</v>
      </c>
      <c r="BT3284" s="4">
        <v>0.43402777777777779</v>
      </c>
      <c r="BU3284" t="s">
        <v>3417</v>
      </c>
      <c r="BV3284" t="s">
        <v>86</v>
      </c>
      <c r="BY3284">
        <v>5510</v>
      </c>
      <c r="CA3284" t="s">
        <v>3076</v>
      </c>
      <c r="CC3284" t="s">
        <v>1096</v>
      </c>
      <c r="CD3284">
        <v>2302</v>
      </c>
      <c r="CE3284" t="s">
        <v>191</v>
      </c>
      <c r="CF3284" s="3">
        <v>45960</v>
      </c>
      <c r="CI3284">
        <v>1</v>
      </c>
      <c r="CJ3284">
        <v>1</v>
      </c>
      <c r="CK3284">
        <v>23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"080068785565"</f>
        <v>080068785565</v>
      </c>
      <c r="F3285" s="3">
        <v>45958</v>
      </c>
      <c r="G3285">
        <v>202607</v>
      </c>
      <c r="H3285" t="s">
        <v>79</v>
      </c>
      <c r="I3285" t="s">
        <v>80</v>
      </c>
      <c r="J3285" t="s">
        <v>91</v>
      </c>
      <c r="K3285" t="s">
        <v>78</v>
      </c>
      <c r="L3285" t="s">
        <v>453</v>
      </c>
      <c r="M3285" t="s">
        <v>454</v>
      </c>
      <c r="N3285" t="s">
        <v>455</v>
      </c>
      <c r="O3285" t="s">
        <v>82</v>
      </c>
      <c r="P3285" t="str">
        <f>"4170066381                    "</f>
        <v xml:space="preserve">4170066381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33.520000000000003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3</v>
      </c>
      <c r="BJ3285">
        <v>1.1000000000000001</v>
      </c>
      <c r="BK3285">
        <v>3</v>
      </c>
      <c r="BL3285">
        <v>106.4</v>
      </c>
      <c r="BM3285">
        <v>15.96</v>
      </c>
      <c r="BN3285">
        <v>122.36</v>
      </c>
      <c r="BO3285">
        <v>122.36</v>
      </c>
      <c r="BQ3285" t="s">
        <v>456</v>
      </c>
      <c r="BR3285" t="s">
        <v>97</v>
      </c>
      <c r="BS3285" s="3">
        <v>45959</v>
      </c>
      <c r="BT3285" s="4">
        <v>0.4375</v>
      </c>
      <c r="BU3285" t="s">
        <v>434</v>
      </c>
      <c r="BV3285" t="s">
        <v>86</v>
      </c>
      <c r="BY3285">
        <v>5510</v>
      </c>
      <c r="CA3285" t="s">
        <v>457</v>
      </c>
      <c r="CC3285" t="s">
        <v>454</v>
      </c>
      <c r="CD3285">
        <v>3608</v>
      </c>
      <c r="CE3285" t="s">
        <v>191</v>
      </c>
      <c r="CF3285" s="3">
        <v>45960</v>
      </c>
      <c r="CI3285">
        <v>1</v>
      </c>
      <c r="CJ3285">
        <v>1</v>
      </c>
      <c r="CK3285">
        <v>21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"080068785618"</f>
        <v>080068785618</v>
      </c>
      <c r="F3286" s="3">
        <v>45958</v>
      </c>
      <c r="G3286">
        <v>202607</v>
      </c>
      <c r="H3286" t="s">
        <v>79</v>
      </c>
      <c r="I3286" t="s">
        <v>80</v>
      </c>
      <c r="J3286" t="s">
        <v>91</v>
      </c>
      <c r="K3286" t="s">
        <v>78</v>
      </c>
      <c r="L3286" t="s">
        <v>763</v>
      </c>
      <c r="M3286" t="s">
        <v>764</v>
      </c>
      <c r="N3286" t="s">
        <v>765</v>
      </c>
      <c r="O3286" t="s">
        <v>82</v>
      </c>
      <c r="P3286" t="str">
        <f>"4170066394                    "</f>
        <v xml:space="preserve">4170066394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43.31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2</v>
      </c>
      <c r="BK3286">
        <v>2</v>
      </c>
      <c r="BL3286">
        <v>137.47</v>
      </c>
      <c r="BM3286">
        <v>20.62</v>
      </c>
      <c r="BN3286">
        <v>158.09</v>
      </c>
      <c r="BO3286">
        <v>158.09</v>
      </c>
      <c r="BQ3286" t="s">
        <v>766</v>
      </c>
      <c r="BR3286" t="s">
        <v>97</v>
      </c>
      <c r="BS3286" s="3">
        <v>45959</v>
      </c>
      <c r="BT3286" s="4">
        <v>0.41666666666666669</v>
      </c>
      <c r="BU3286" t="s">
        <v>3531</v>
      </c>
      <c r="BV3286" t="s">
        <v>86</v>
      </c>
      <c r="BY3286">
        <v>10140</v>
      </c>
      <c r="CC3286" t="s">
        <v>764</v>
      </c>
      <c r="CD3286">
        <v>2531</v>
      </c>
      <c r="CE3286" t="s">
        <v>107</v>
      </c>
      <c r="CF3286" s="3">
        <v>45960</v>
      </c>
      <c r="CI3286">
        <v>1</v>
      </c>
      <c r="CJ3286">
        <v>1</v>
      </c>
      <c r="CK3286">
        <v>23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"080068785906"</f>
        <v>080068785906</v>
      </c>
      <c r="F3287" s="3">
        <v>45958</v>
      </c>
      <c r="G3287">
        <v>202607</v>
      </c>
      <c r="H3287" t="s">
        <v>79</v>
      </c>
      <c r="I3287" t="s">
        <v>80</v>
      </c>
      <c r="J3287" t="s">
        <v>91</v>
      </c>
      <c r="K3287" t="s">
        <v>78</v>
      </c>
      <c r="L3287" t="s">
        <v>206</v>
      </c>
      <c r="M3287" t="s">
        <v>207</v>
      </c>
      <c r="N3287" t="s">
        <v>1115</v>
      </c>
      <c r="O3287" t="s">
        <v>82</v>
      </c>
      <c r="P3287" t="str">
        <f>"4170066411                    "</f>
        <v xml:space="preserve">4170066411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22.36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70.959999999999994</v>
      </c>
      <c r="BM3287">
        <v>10.64</v>
      </c>
      <c r="BN3287">
        <v>81.599999999999994</v>
      </c>
      <c r="BO3287">
        <v>81.599999999999994</v>
      </c>
      <c r="BQ3287" t="s">
        <v>1116</v>
      </c>
      <c r="BR3287" t="s">
        <v>97</v>
      </c>
      <c r="BS3287" s="3">
        <v>45959</v>
      </c>
      <c r="BT3287" s="4">
        <v>0.41458333333333336</v>
      </c>
      <c r="BU3287" t="s">
        <v>3532</v>
      </c>
      <c r="BV3287" t="s">
        <v>86</v>
      </c>
      <c r="BY3287">
        <v>1200</v>
      </c>
      <c r="CA3287" t="s">
        <v>461</v>
      </c>
      <c r="CC3287" t="s">
        <v>207</v>
      </c>
      <c r="CD3287">
        <v>7530</v>
      </c>
      <c r="CE3287" t="s">
        <v>147</v>
      </c>
      <c r="CF3287" s="3">
        <v>45960</v>
      </c>
      <c r="CI3287">
        <v>1</v>
      </c>
      <c r="CJ3287">
        <v>1</v>
      </c>
      <c r="CK3287">
        <v>21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"080068785929"</f>
        <v>080068785929</v>
      </c>
      <c r="F3288" s="3">
        <v>45958</v>
      </c>
      <c r="G3288">
        <v>202607</v>
      </c>
      <c r="H3288" t="s">
        <v>79</v>
      </c>
      <c r="I3288" t="s">
        <v>80</v>
      </c>
      <c r="J3288" t="s">
        <v>91</v>
      </c>
      <c r="K3288" t="s">
        <v>78</v>
      </c>
      <c r="L3288" t="s">
        <v>530</v>
      </c>
      <c r="M3288" t="s">
        <v>531</v>
      </c>
      <c r="N3288" t="s">
        <v>532</v>
      </c>
      <c r="O3288" t="s">
        <v>82</v>
      </c>
      <c r="P3288" t="str">
        <f>"4170066379                    "</f>
        <v xml:space="preserve">4170066379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43.31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137.47</v>
      </c>
      <c r="BM3288">
        <v>20.62</v>
      </c>
      <c r="BN3288">
        <v>158.09</v>
      </c>
      <c r="BO3288">
        <v>158.09</v>
      </c>
      <c r="BQ3288" t="s">
        <v>533</v>
      </c>
      <c r="BR3288" t="s">
        <v>97</v>
      </c>
      <c r="BS3288" s="3">
        <v>45959</v>
      </c>
      <c r="BT3288" s="4">
        <v>0.48194444444444445</v>
      </c>
      <c r="BU3288" t="s">
        <v>534</v>
      </c>
      <c r="BV3288" t="s">
        <v>86</v>
      </c>
      <c r="BY3288">
        <v>1200</v>
      </c>
      <c r="CA3288" t="s">
        <v>535</v>
      </c>
      <c r="CC3288" t="s">
        <v>531</v>
      </c>
      <c r="CD3288">
        <v>6850</v>
      </c>
      <c r="CE3288" t="s">
        <v>147</v>
      </c>
      <c r="CF3288" s="3">
        <v>45960</v>
      </c>
      <c r="CI3288">
        <v>2</v>
      </c>
      <c r="CJ3288">
        <v>1</v>
      </c>
      <c r="CK3288">
        <v>23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"080068785956"</f>
        <v>080068785956</v>
      </c>
      <c r="F3289" s="3">
        <v>45958</v>
      </c>
      <c r="G3289">
        <v>202607</v>
      </c>
      <c r="H3289" t="s">
        <v>79</v>
      </c>
      <c r="I3289" t="s">
        <v>80</v>
      </c>
      <c r="J3289" t="s">
        <v>91</v>
      </c>
      <c r="K3289" t="s">
        <v>78</v>
      </c>
      <c r="L3289" t="s">
        <v>246</v>
      </c>
      <c r="M3289" t="s">
        <v>247</v>
      </c>
      <c r="N3289" t="s">
        <v>1210</v>
      </c>
      <c r="O3289" t="s">
        <v>95</v>
      </c>
      <c r="P3289" t="str">
        <f>"4170066368                    "</f>
        <v xml:space="preserve">4170066368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60.97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16.739999999999998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6.2</v>
      </c>
      <c r="BK3289">
        <v>7</v>
      </c>
      <c r="BL3289">
        <v>216.13</v>
      </c>
      <c r="BM3289">
        <v>32.42</v>
      </c>
      <c r="BN3289">
        <v>248.55</v>
      </c>
      <c r="BO3289">
        <v>248.55</v>
      </c>
      <c r="BQ3289" t="s">
        <v>1211</v>
      </c>
      <c r="BR3289" t="s">
        <v>97</v>
      </c>
      <c r="BS3289" s="3">
        <v>45959</v>
      </c>
      <c r="BT3289" s="4">
        <v>0.58750000000000002</v>
      </c>
      <c r="BU3289" t="s">
        <v>2836</v>
      </c>
      <c r="BV3289" t="s">
        <v>86</v>
      </c>
      <c r="BY3289">
        <v>30888</v>
      </c>
      <c r="BZ3289" t="s">
        <v>30</v>
      </c>
      <c r="CA3289">
        <v>9009275394080</v>
      </c>
      <c r="CC3289" t="s">
        <v>247</v>
      </c>
      <c r="CD3289" s="5" t="s">
        <v>2154</v>
      </c>
      <c r="CE3289" t="s">
        <v>107</v>
      </c>
      <c r="CF3289" s="3">
        <v>45959</v>
      </c>
      <c r="CI3289">
        <v>1</v>
      </c>
      <c r="CJ3289">
        <v>1</v>
      </c>
      <c r="CK3289">
        <v>43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"080068786039"</f>
        <v>080068786039</v>
      </c>
      <c r="F3290" s="3">
        <v>45958</v>
      </c>
      <c r="G3290">
        <v>202607</v>
      </c>
      <c r="H3290" t="s">
        <v>79</v>
      </c>
      <c r="I3290" t="s">
        <v>80</v>
      </c>
      <c r="J3290" t="s">
        <v>91</v>
      </c>
      <c r="K3290" t="s">
        <v>78</v>
      </c>
      <c r="L3290" t="s">
        <v>2063</v>
      </c>
      <c r="M3290" t="s">
        <v>2064</v>
      </c>
      <c r="N3290" t="s">
        <v>2925</v>
      </c>
      <c r="O3290" t="s">
        <v>226</v>
      </c>
      <c r="P3290" t="str">
        <f>"4170066353                    "</f>
        <v xml:space="preserve">4170066353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144.66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2</v>
      </c>
      <c r="BI3290">
        <v>8</v>
      </c>
      <c r="BJ3290">
        <v>3.8</v>
      </c>
      <c r="BK3290">
        <v>8</v>
      </c>
      <c r="BL3290">
        <v>459.13</v>
      </c>
      <c r="BM3290">
        <v>68.87</v>
      </c>
      <c r="BN3290">
        <v>528</v>
      </c>
      <c r="BO3290">
        <v>528</v>
      </c>
      <c r="BQ3290" t="s">
        <v>2926</v>
      </c>
      <c r="BR3290" t="s">
        <v>97</v>
      </c>
      <c r="BS3290" t="s">
        <v>2659</v>
      </c>
      <c r="BY3290">
        <v>9600</v>
      </c>
      <c r="CC3290" t="s">
        <v>2064</v>
      </c>
      <c r="CD3290">
        <v>1779</v>
      </c>
      <c r="CE3290" t="s">
        <v>2005</v>
      </c>
      <c r="CI3290">
        <v>1</v>
      </c>
      <c r="CJ3290" t="s">
        <v>2659</v>
      </c>
      <c r="CK3290">
        <v>34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"080068786089"</f>
        <v>080068786089</v>
      </c>
      <c r="F3291" s="3">
        <v>45958</v>
      </c>
      <c r="G3291">
        <v>202607</v>
      </c>
      <c r="H3291" t="s">
        <v>79</v>
      </c>
      <c r="I3291" t="s">
        <v>80</v>
      </c>
      <c r="J3291" t="s">
        <v>91</v>
      </c>
      <c r="K3291" t="s">
        <v>78</v>
      </c>
      <c r="L3291" t="s">
        <v>168</v>
      </c>
      <c r="M3291" t="s">
        <v>169</v>
      </c>
      <c r="N3291" t="s">
        <v>297</v>
      </c>
      <c r="O3291" t="s">
        <v>95</v>
      </c>
      <c r="P3291" t="str">
        <f>"4170066351                    "</f>
        <v xml:space="preserve">4170066351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46.8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2</v>
      </c>
      <c r="BI3291">
        <v>8</v>
      </c>
      <c r="BJ3291">
        <v>16.3</v>
      </c>
      <c r="BK3291">
        <v>17</v>
      </c>
      <c r="BL3291">
        <v>154.41</v>
      </c>
      <c r="BM3291">
        <v>23.16</v>
      </c>
      <c r="BN3291">
        <v>177.57</v>
      </c>
      <c r="BO3291">
        <v>177.57</v>
      </c>
      <c r="BQ3291" t="s">
        <v>298</v>
      </c>
      <c r="BR3291" t="s">
        <v>97</v>
      </c>
      <c r="BS3291" t="s">
        <v>2659</v>
      </c>
      <c r="BY3291">
        <v>81600</v>
      </c>
      <c r="CC3291" t="s">
        <v>169</v>
      </c>
      <c r="CD3291" s="5" t="s">
        <v>190</v>
      </c>
      <c r="CE3291" t="s">
        <v>191</v>
      </c>
      <c r="CI3291">
        <v>1</v>
      </c>
      <c r="CJ3291" t="s">
        <v>2659</v>
      </c>
      <c r="CK3291">
        <v>41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"080068786672"</f>
        <v>080068786672</v>
      </c>
      <c r="F3292" s="3">
        <v>45958</v>
      </c>
      <c r="G3292">
        <v>202607</v>
      </c>
      <c r="H3292" t="s">
        <v>79</v>
      </c>
      <c r="I3292" t="s">
        <v>80</v>
      </c>
      <c r="J3292" t="s">
        <v>91</v>
      </c>
      <c r="K3292" t="s">
        <v>78</v>
      </c>
      <c r="L3292" t="s">
        <v>148</v>
      </c>
      <c r="M3292" t="s">
        <v>149</v>
      </c>
      <c r="N3292" t="s">
        <v>465</v>
      </c>
      <c r="O3292" t="s">
        <v>226</v>
      </c>
      <c r="P3292" t="str">
        <f>"4170066389                    "</f>
        <v xml:space="preserve">4170066389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17.47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4</v>
      </c>
      <c r="BJ3292">
        <v>3.2</v>
      </c>
      <c r="BK3292">
        <v>4</v>
      </c>
      <c r="BL3292">
        <v>55.44</v>
      </c>
      <c r="BM3292">
        <v>8.32</v>
      </c>
      <c r="BN3292">
        <v>63.76</v>
      </c>
      <c r="BO3292">
        <v>63.76</v>
      </c>
      <c r="BQ3292" t="s">
        <v>466</v>
      </c>
      <c r="BR3292" t="s">
        <v>97</v>
      </c>
      <c r="BS3292" s="3">
        <v>45959</v>
      </c>
      <c r="BT3292" s="4">
        <v>0.3840277777777778</v>
      </c>
      <c r="BU3292" t="s">
        <v>3533</v>
      </c>
      <c r="BV3292" t="s">
        <v>86</v>
      </c>
      <c r="BY3292">
        <v>15750</v>
      </c>
      <c r="CA3292" t="s">
        <v>146</v>
      </c>
      <c r="CC3292" t="s">
        <v>149</v>
      </c>
      <c r="CD3292">
        <v>2094</v>
      </c>
      <c r="CE3292" t="s">
        <v>107</v>
      </c>
      <c r="CF3292" s="3">
        <v>45960</v>
      </c>
      <c r="CI3292">
        <v>1</v>
      </c>
      <c r="CJ3292">
        <v>1</v>
      </c>
      <c r="CK3292">
        <v>32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"080068786676"</f>
        <v>080068786676</v>
      </c>
      <c r="F3293" s="3">
        <v>45958</v>
      </c>
      <c r="G3293">
        <v>202607</v>
      </c>
      <c r="H3293" t="s">
        <v>79</v>
      </c>
      <c r="I3293" t="s">
        <v>80</v>
      </c>
      <c r="J3293" t="s">
        <v>91</v>
      </c>
      <c r="K3293" t="s">
        <v>78</v>
      </c>
      <c r="L3293" t="s">
        <v>271</v>
      </c>
      <c r="M3293" t="s">
        <v>272</v>
      </c>
      <c r="N3293" t="s">
        <v>1428</v>
      </c>
      <c r="O3293" t="s">
        <v>82</v>
      </c>
      <c r="P3293" t="str">
        <f>"4170066352                    "</f>
        <v xml:space="preserve">4170066352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17.46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55.42</v>
      </c>
      <c r="BM3293">
        <v>8.31</v>
      </c>
      <c r="BN3293">
        <v>63.73</v>
      </c>
      <c r="BO3293">
        <v>63.73</v>
      </c>
      <c r="BQ3293" t="s">
        <v>1429</v>
      </c>
      <c r="BR3293" t="s">
        <v>97</v>
      </c>
      <c r="BS3293" s="3">
        <v>45959</v>
      </c>
      <c r="BT3293" s="4">
        <v>0.35069444444444442</v>
      </c>
      <c r="BU3293" t="s">
        <v>3161</v>
      </c>
      <c r="BV3293" t="s">
        <v>86</v>
      </c>
      <c r="BY3293">
        <v>1200</v>
      </c>
      <c r="CA3293" t="s">
        <v>1659</v>
      </c>
      <c r="CC3293" t="s">
        <v>272</v>
      </c>
      <c r="CD3293">
        <v>1406</v>
      </c>
      <c r="CE3293" t="s">
        <v>147</v>
      </c>
      <c r="CF3293" s="3">
        <v>45959</v>
      </c>
      <c r="CI3293">
        <v>1</v>
      </c>
      <c r="CJ3293">
        <v>1</v>
      </c>
      <c r="CK3293">
        <v>22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"080068786731"</f>
        <v>080068786731</v>
      </c>
      <c r="F3294" s="3">
        <v>45958</v>
      </c>
      <c r="G3294">
        <v>202607</v>
      </c>
      <c r="H3294" t="s">
        <v>79</v>
      </c>
      <c r="I3294" t="s">
        <v>80</v>
      </c>
      <c r="J3294" t="s">
        <v>91</v>
      </c>
      <c r="K3294" t="s">
        <v>78</v>
      </c>
      <c r="L3294" t="s">
        <v>300</v>
      </c>
      <c r="M3294" t="s">
        <v>301</v>
      </c>
      <c r="N3294" t="s">
        <v>523</v>
      </c>
      <c r="O3294" t="s">
        <v>82</v>
      </c>
      <c r="P3294" t="str">
        <f>"4170066417                    "</f>
        <v xml:space="preserve">4170066417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31.44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99.79</v>
      </c>
      <c r="BM3294">
        <v>14.97</v>
      </c>
      <c r="BN3294">
        <v>114.76</v>
      </c>
      <c r="BO3294">
        <v>114.76</v>
      </c>
      <c r="BQ3294" t="s">
        <v>524</v>
      </c>
      <c r="BR3294" t="s">
        <v>97</v>
      </c>
      <c r="BS3294" s="3">
        <v>45959</v>
      </c>
      <c r="BT3294" s="4">
        <v>0.40486111111111112</v>
      </c>
      <c r="BU3294" t="s">
        <v>3534</v>
      </c>
      <c r="BV3294" t="s">
        <v>86</v>
      </c>
      <c r="BY3294">
        <v>1200</v>
      </c>
      <c r="CA3294" t="s">
        <v>305</v>
      </c>
      <c r="CC3294" t="s">
        <v>301</v>
      </c>
      <c r="CD3294">
        <v>1748</v>
      </c>
      <c r="CE3294" t="s">
        <v>147</v>
      </c>
      <c r="CF3294" s="3">
        <v>45960</v>
      </c>
      <c r="CI3294">
        <v>1</v>
      </c>
      <c r="CJ3294">
        <v>1</v>
      </c>
      <c r="CK3294">
        <v>24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"080068786752"</f>
        <v>080068786752</v>
      </c>
      <c r="F3295" s="3">
        <v>45958</v>
      </c>
      <c r="G3295">
        <v>202607</v>
      </c>
      <c r="H3295" t="s">
        <v>79</v>
      </c>
      <c r="I3295" t="s">
        <v>80</v>
      </c>
      <c r="J3295" t="s">
        <v>91</v>
      </c>
      <c r="K3295" t="s">
        <v>78</v>
      </c>
      <c r="L3295" t="s">
        <v>108</v>
      </c>
      <c r="M3295" t="s">
        <v>109</v>
      </c>
      <c r="N3295" t="s">
        <v>291</v>
      </c>
      <c r="O3295" t="s">
        <v>82</v>
      </c>
      <c r="P3295" t="str">
        <f>"4170066448                    "</f>
        <v xml:space="preserve">4170066448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22.36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70.959999999999994</v>
      </c>
      <c r="BM3295">
        <v>10.64</v>
      </c>
      <c r="BN3295">
        <v>81.599999999999994</v>
      </c>
      <c r="BO3295">
        <v>81.599999999999994</v>
      </c>
      <c r="BQ3295" t="s">
        <v>292</v>
      </c>
      <c r="BR3295" t="s">
        <v>97</v>
      </c>
      <c r="BS3295" s="3">
        <v>45959</v>
      </c>
      <c r="BT3295" s="4">
        <v>0.39513888888888887</v>
      </c>
      <c r="BU3295" t="s">
        <v>3247</v>
      </c>
      <c r="BV3295" t="s">
        <v>86</v>
      </c>
      <c r="BY3295">
        <v>1200</v>
      </c>
      <c r="CA3295" t="s">
        <v>294</v>
      </c>
      <c r="CC3295" t="s">
        <v>109</v>
      </c>
      <c r="CD3295">
        <v>6001</v>
      </c>
      <c r="CE3295" t="s">
        <v>147</v>
      </c>
      <c r="CF3295" s="3">
        <v>45959</v>
      </c>
      <c r="CI3295">
        <v>1</v>
      </c>
      <c r="CJ3295">
        <v>1</v>
      </c>
      <c r="CK3295">
        <v>21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"080068786777"</f>
        <v>080068786777</v>
      </c>
      <c r="F3296" s="3">
        <v>45958</v>
      </c>
      <c r="G3296">
        <v>202607</v>
      </c>
      <c r="H3296" t="s">
        <v>79</v>
      </c>
      <c r="I3296" t="s">
        <v>80</v>
      </c>
      <c r="J3296" t="s">
        <v>91</v>
      </c>
      <c r="K3296" t="s">
        <v>78</v>
      </c>
      <c r="L3296" t="s">
        <v>218</v>
      </c>
      <c r="M3296" t="s">
        <v>219</v>
      </c>
      <c r="N3296" t="s">
        <v>220</v>
      </c>
      <c r="O3296" t="s">
        <v>82</v>
      </c>
      <c r="P3296" t="str">
        <f>"4170066364                    "</f>
        <v xml:space="preserve">4170066364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17.46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1.2</v>
      </c>
      <c r="BK3296">
        <v>2</v>
      </c>
      <c r="BL3296">
        <v>55.42</v>
      </c>
      <c r="BM3296">
        <v>8.31</v>
      </c>
      <c r="BN3296">
        <v>63.73</v>
      </c>
      <c r="BO3296">
        <v>63.73</v>
      </c>
      <c r="BQ3296" t="s">
        <v>221</v>
      </c>
      <c r="BR3296" t="s">
        <v>97</v>
      </c>
      <c r="BS3296" s="3">
        <v>45960</v>
      </c>
      <c r="BT3296" s="4">
        <v>0.40416666666666667</v>
      </c>
      <c r="BU3296" t="s">
        <v>199</v>
      </c>
      <c r="BV3296" t="s">
        <v>90</v>
      </c>
      <c r="BW3296" t="s">
        <v>3535</v>
      </c>
      <c r="BX3296" t="s">
        <v>677</v>
      </c>
      <c r="BY3296">
        <v>6020</v>
      </c>
      <c r="CA3296" t="s">
        <v>720</v>
      </c>
      <c r="CC3296" t="s">
        <v>219</v>
      </c>
      <c r="CD3296">
        <v>1559</v>
      </c>
      <c r="CE3296" t="s">
        <v>107</v>
      </c>
      <c r="CI3296">
        <v>1</v>
      </c>
      <c r="CJ3296">
        <v>2</v>
      </c>
      <c r="CK3296">
        <v>22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"080068786792"</f>
        <v>080068786792</v>
      </c>
      <c r="F3297" s="3">
        <v>45958</v>
      </c>
      <c r="G3297">
        <v>202607</v>
      </c>
      <c r="H3297" t="s">
        <v>79</v>
      </c>
      <c r="I3297" t="s">
        <v>80</v>
      </c>
      <c r="J3297" t="s">
        <v>91</v>
      </c>
      <c r="K3297" t="s">
        <v>78</v>
      </c>
      <c r="L3297" t="s">
        <v>350</v>
      </c>
      <c r="M3297" t="s">
        <v>351</v>
      </c>
      <c r="N3297" t="s">
        <v>352</v>
      </c>
      <c r="O3297" t="s">
        <v>82</v>
      </c>
      <c r="P3297" t="str">
        <f>"4170066445                    "</f>
        <v xml:space="preserve">4170066445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43.31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137.47</v>
      </c>
      <c r="BM3297">
        <v>20.62</v>
      </c>
      <c r="BN3297">
        <v>158.09</v>
      </c>
      <c r="BO3297">
        <v>158.09</v>
      </c>
      <c r="BQ3297" t="s">
        <v>353</v>
      </c>
      <c r="BR3297" t="s">
        <v>97</v>
      </c>
      <c r="BS3297" s="3">
        <v>45959</v>
      </c>
      <c r="BT3297" s="4">
        <v>0.41458333333333336</v>
      </c>
      <c r="BU3297" t="s">
        <v>2318</v>
      </c>
      <c r="BV3297" t="s">
        <v>86</v>
      </c>
      <c r="BY3297">
        <v>1200</v>
      </c>
      <c r="CA3297" t="s">
        <v>355</v>
      </c>
      <c r="CC3297" t="s">
        <v>351</v>
      </c>
      <c r="CD3297" s="5" t="s">
        <v>356</v>
      </c>
      <c r="CE3297" t="s">
        <v>147</v>
      </c>
      <c r="CI3297">
        <v>1</v>
      </c>
      <c r="CJ3297">
        <v>1</v>
      </c>
      <c r="CK3297">
        <v>23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"080068786820"</f>
        <v>080068786820</v>
      </c>
      <c r="F3298" s="3">
        <v>45958</v>
      </c>
      <c r="G3298">
        <v>202607</v>
      </c>
      <c r="H3298" t="s">
        <v>79</v>
      </c>
      <c r="I3298" t="s">
        <v>80</v>
      </c>
      <c r="J3298" t="s">
        <v>91</v>
      </c>
      <c r="K3298" t="s">
        <v>78</v>
      </c>
      <c r="L3298" t="s">
        <v>168</v>
      </c>
      <c r="M3298" t="s">
        <v>169</v>
      </c>
      <c r="N3298" t="s">
        <v>1182</v>
      </c>
      <c r="O3298" t="s">
        <v>82</v>
      </c>
      <c r="P3298" t="str">
        <f>"4170066444                    "</f>
        <v xml:space="preserve">4170066444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22.36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70.959999999999994</v>
      </c>
      <c r="BM3298">
        <v>10.64</v>
      </c>
      <c r="BN3298">
        <v>81.599999999999994</v>
      </c>
      <c r="BO3298">
        <v>81.599999999999994</v>
      </c>
      <c r="BQ3298" t="s">
        <v>1183</v>
      </c>
      <c r="BR3298" t="s">
        <v>97</v>
      </c>
      <c r="BS3298" s="3">
        <v>45959</v>
      </c>
      <c r="BT3298" s="4">
        <v>0.41180555555555554</v>
      </c>
      <c r="BU3298" t="s">
        <v>3518</v>
      </c>
      <c r="BV3298" t="s">
        <v>86</v>
      </c>
      <c r="BY3298">
        <v>1200</v>
      </c>
      <c r="CA3298">
        <v>8110305701087</v>
      </c>
      <c r="CC3298" t="s">
        <v>169</v>
      </c>
      <c r="CD3298" s="5" t="s">
        <v>1108</v>
      </c>
      <c r="CE3298" t="s">
        <v>147</v>
      </c>
      <c r="CF3298" s="3">
        <v>45959</v>
      </c>
      <c r="CI3298">
        <v>1</v>
      </c>
      <c r="CJ3298">
        <v>1</v>
      </c>
      <c r="CK3298">
        <v>21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"080068786832"</f>
        <v>080068786832</v>
      </c>
      <c r="F3299" s="3">
        <v>45958</v>
      </c>
      <c r="G3299">
        <v>202607</v>
      </c>
      <c r="H3299" t="s">
        <v>79</v>
      </c>
      <c r="I3299" t="s">
        <v>80</v>
      </c>
      <c r="J3299" t="s">
        <v>91</v>
      </c>
      <c r="K3299" t="s">
        <v>78</v>
      </c>
      <c r="L3299" t="s">
        <v>469</v>
      </c>
      <c r="M3299" t="s">
        <v>470</v>
      </c>
      <c r="N3299" t="s">
        <v>471</v>
      </c>
      <c r="O3299" t="s">
        <v>82</v>
      </c>
      <c r="P3299" t="str">
        <f>"4170066435                    "</f>
        <v xml:space="preserve">4170066435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43.31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1.9</v>
      </c>
      <c r="BK3299">
        <v>2</v>
      </c>
      <c r="BL3299">
        <v>137.47</v>
      </c>
      <c r="BM3299">
        <v>20.62</v>
      </c>
      <c r="BN3299">
        <v>158.09</v>
      </c>
      <c r="BO3299">
        <v>158.09</v>
      </c>
      <c r="BQ3299" t="s">
        <v>1724</v>
      </c>
      <c r="BR3299" t="s">
        <v>97</v>
      </c>
      <c r="BS3299" s="3">
        <v>45959</v>
      </c>
      <c r="BT3299" s="4">
        <v>0.5083333333333333</v>
      </c>
      <c r="BU3299" t="s">
        <v>2488</v>
      </c>
      <c r="BV3299" t="s">
        <v>86</v>
      </c>
      <c r="BY3299">
        <v>9600</v>
      </c>
      <c r="CA3299" t="s">
        <v>474</v>
      </c>
      <c r="CC3299" t="s">
        <v>470</v>
      </c>
      <c r="CD3299">
        <v>7300</v>
      </c>
      <c r="CE3299" t="s">
        <v>191</v>
      </c>
      <c r="CF3299" s="3">
        <v>45960</v>
      </c>
      <c r="CI3299">
        <v>1</v>
      </c>
      <c r="CJ3299">
        <v>1</v>
      </c>
      <c r="CK3299">
        <v>23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"080068788065"</f>
        <v>080068788065</v>
      </c>
      <c r="F3300" s="3">
        <v>45958</v>
      </c>
      <c r="G3300">
        <v>202607</v>
      </c>
      <c r="H3300" t="s">
        <v>79</v>
      </c>
      <c r="I3300" t="s">
        <v>80</v>
      </c>
      <c r="J3300" t="s">
        <v>91</v>
      </c>
      <c r="K3300" t="s">
        <v>78</v>
      </c>
      <c r="L3300" t="s">
        <v>206</v>
      </c>
      <c r="M3300" t="s">
        <v>207</v>
      </c>
      <c r="N3300" t="s">
        <v>3519</v>
      </c>
      <c r="O3300" t="s">
        <v>82</v>
      </c>
      <c r="P3300" t="str">
        <f>"4170066355                    "</f>
        <v xml:space="preserve">4170066355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22.36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70.959999999999994</v>
      </c>
      <c r="BM3300">
        <v>10.64</v>
      </c>
      <c r="BN3300">
        <v>81.599999999999994</v>
      </c>
      <c r="BO3300">
        <v>81.599999999999994</v>
      </c>
      <c r="BQ3300" t="s">
        <v>3520</v>
      </c>
      <c r="BR3300" t="s">
        <v>97</v>
      </c>
      <c r="BS3300" s="3">
        <v>45959</v>
      </c>
      <c r="BT3300" s="4">
        <v>0.42083333333333334</v>
      </c>
      <c r="BU3300" t="s">
        <v>3521</v>
      </c>
      <c r="BV3300" t="s">
        <v>86</v>
      </c>
      <c r="BY3300">
        <v>1200</v>
      </c>
      <c r="CA3300" t="s">
        <v>211</v>
      </c>
      <c r="CC3300" t="s">
        <v>207</v>
      </c>
      <c r="CD3300">
        <v>7405</v>
      </c>
      <c r="CE3300" t="s">
        <v>147</v>
      </c>
      <c r="CF3300" s="3">
        <v>45960</v>
      </c>
      <c r="CI3300">
        <v>1</v>
      </c>
      <c r="CJ3300">
        <v>1</v>
      </c>
      <c r="CK3300">
        <v>21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"080068788125"</f>
        <v>080068788125</v>
      </c>
      <c r="F3301" s="3">
        <v>45958</v>
      </c>
      <c r="G3301">
        <v>202607</v>
      </c>
      <c r="H3301" t="s">
        <v>79</v>
      </c>
      <c r="I3301" t="s">
        <v>80</v>
      </c>
      <c r="J3301" t="s">
        <v>91</v>
      </c>
      <c r="K3301" t="s">
        <v>78</v>
      </c>
      <c r="L3301" t="s">
        <v>206</v>
      </c>
      <c r="M3301" t="s">
        <v>207</v>
      </c>
      <c r="N3301" t="s">
        <v>3457</v>
      </c>
      <c r="O3301" t="s">
        <v>82</v>
      </c>
      <c r="P3301" t="str">
        <f>"4170066449                    "</f>
        <v xml:space="preserve">4170066449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22.36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70.959999999999994</v>
      </c>
      <c r="BM3301">
        <v>10.64</v>
      </c>
      <c r="BN3301">
        <v>81.599999999999994</v>
      </c>
      <c r="BO3301">
        <v>81.599999999999994</v>
      </c>
      <c r="BQ3301" t="s">
        <v>3458</v>
      </c>
      <c r="BR3301" t="s">
        <v>97</v>
      </c>
      <c r="BS3301" s="3">
        <v>45959</v>
      </c>
      <c r="BT3301" s="4">
        <v>0.42291666666666666</v>
      </c>
      <c r="BU3301" t="s">
        <v>658</v>
      </c>
      <c r="BV3301" t="s">
        <v>86</v>
      </c>
      <c r="BY3301">
        <v>1200</v>
      </c>
      <c r="CA3301" t="s">
        <v>211</v>
      </c>
      <c r="CC3301" t="s">
        <v>207</v>
      </c>
      <c r="CD3301">
        <v>7441</v>
      </c>
      <c r="CE3301" t="s">
        <v>147</v>
      </c>
      <c r="CF3301" s="3">
        <v>45960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"080068788136"</f>
        <v>080068788136</v>
      </c>
      <c r="F3302" s="3">
        <v>45958</v>
      </c>
      <c r="G3302">
        <v>202607</v>
      </c>
      <c r="H3302" t="s">
        <v>79</v>
      </c>
      <c r="I3302" t="s">
        <v>80</v>
      </c>
      <c r="J3302" t="s">
        <v>91</v>
      </c>
      <c r="K3302" t="s">
        <v>78</v>
      </c>
      <c r="L3302" t="s">
        <v>206</v>
      </c>
      <c r="M3302" t="s">
        <v>207</v>
      </c>
      <c r="N3302" t="s">
        <v>3536</v>
      </c>
      <c r="O3302" t="s">
        <v>82</v>
      </c>
      <c r="P3302" t="str">
        <f>"4170066408                    "</f>
        <v xml:space="preserve">4170066408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100.54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7</v>
      </c>
      <c r="BJ3302">
        <v>8.9</v>
      </c>
      <c r="BK3302">
        <v>9</v>
      </c>
      <c r="BL3302">
        <v>319.10000000000002</v>
      </c>
      <c r="BM3302">
        <v>47.87</v>
      </c>
      <c r="BN3302">
        <v>366.97</v>
      </c>
      <c r="BO3302">
        <v>366.97</v>
      </c>
      <c r="BQ3302" t="s">
        <v>3537</v>
      </c>
      <c r="BR3302" t="s">
        <v>97</v>
      </c>
      <c r="BS3302" s="3">
        <v>45959</v>
      </c>
      <c r="BT3302" s="4">
        <v>0.3972222222222222</v>
      </c>
      <c r="BU3302" t="s">
        <v>3538</v>
      </c>
      <c r="BV3302" t="s">
        <v>86</v>
      </c>
      <c r="BY3302">
        <v>44640</v>
      </c>
      <c r="CA3302" t="s">
        <v>569</v>
      </c>
      <c r="CC3302" t="s">
        <v>207</v>
      </c>
      <c r="CD3302">
        <v>7945</v>
      </c>
      <c r="CE3302" t="s">
        <v>191</v>
      </c>
      <c r="CF3302" s="3">
        <v>45960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"080068788160"</f>
        <v>080068788160</v>
      </c>
      <c r="F3303" s="3">
        <v>45958</v>
      </c>
      <c r="G3303">
        <v>202607</v>
      </c>
      <c r="H3303" t="s">
        <v>79</v>
      </c>
      <c r="I3303" t="s">
        <v>80</v>
      </c>
      <c r="J3303" t="s">
        <v>91</v>
      </c>
      <c r="K3303" t="s">
        <v>78</v>
      </c>
      <c r="L3303" t="s">
        <v>108</v>
      </c>
      <c r="M3303" t="s">
        <v>109</v>
      </c>
      <c r="N3303" t="s">
        <v>315</v>
      </c>
      <c r="O3303" t="s">
        <v>82</v>
      </c>
      <c r="P3303" t="str">
        <f>"4170066397                    "</f>
        <v xml:space="preserve">4170066397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22.36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70.959999999999994</v>
      </c>
      <c r="BM3303">
        <v>10.64</v>
      </c>
      <c r="BN3303">
        <v>81.599999999999994</v>
      </c>
      <c r="BO3303">
        <v>81.599999999999994</v>
      </c>
      <c r="BQ3303" t="s">
        <v>1351</v>
      </c>
      <c r="BR3303" t="s">
        <v>97</v>
      </c>
      <c r="BS3303" s="3">
        <v>45959</v>
      </c>
      <c r="BT3303" s="4">
        <v>0.32916666666666666</v>
      </c>
      <c r="BU3303" t="s">
        <v>3523</v>
      </c>
      <c r="BV3303" t="s">
        <v>86</v>
      </c>
      <c r="BY3303">
        <v>1200</v>
      </c>
      <c r="CA3303" t="s">
        <v>113</v>
      </c>
      <c r="CC3303" t="s">
        <v>109</v>
      </c>
      <c r="CD3303">
        <v>6045</v>
      </c>
      <c r="CE3303" t="s">
        <v>147</v>
      </c>
      <c r="CF3303" s="3">
        <v>45959</v>
      </c>
      <c r="CI3303">
        <v>1</v>
      </c>
      <c r="CJ3303">
        <v>1</v>
      </c>
      <c r="CK3303">
        <v>21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"080068788180"</f>
        <v>080068788180</v>
      </c>
      <c r="F3304" s="3">
        <v>45958</v>
      </c>
      <c r="G3304">
        <v>202607</v>
      </c>
      <c r="H3304" t="s">
        <v>79</v>
      </c>
      <c r="I3304" t="s">
        <v>80</v>
      </c>
      <c r="J3304" t="s">
        <v>91</v>
      </c>
      <c r="K3304" t="s">
        <v>78</v>
      </c>
      <c r="L3304" t="s">
        <v>788</v>
      </c>
      <c r="M3304" t="s">
        <v>789</v>
      </c>
      <c r="N3304" t="s">
        <v>1294</v>
      </c>
      <c r="O3304" t="s">
        <v>82</v>
      </c>
      <c r="P3304" t="str">
        <f>"4170066429                    "</f>
        <v xml:space="preserve">4170066429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62.87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3</v>
      </c>
      <c r="BJ3304">
        <v>1.9</v>
      </c>
      <c r="BK3304">
        <v>3</v>
      </c>
      <c r="BL3304">
        <v>199.55</v>
      </c>
      <c r="BM3304">
        <v>29.93</v>
      </c>
      <c r="BN3304">
        <v>229.48</v>
      </c>
      <c r="BO3304">
        <v>229.48</v>
      </c>
      <c r="BQ3304" t="s">
        <v>1295</v>
      </c>
      <c r="BR3304" t="s">
        <v>97</v>
      </c>
      <c r="BS3304" t="s">
        <v>2659</v>
      </c>
      <c r="BY3304">
        <v>9600</v>
      </c>
      <c r="CC3304" t="s">
        <v>789</v>
      </c>
      <c r="CD3304">
        <v>3280</v>
      </c>
      <c r="CE3304" t="s">
        <v>191</v>
      </c>
      <c r="CI3304">
        <v>1</v>
      </c>
      <c r="CJ3304" t="s">
        <v>2659</v>
      </c>
      <c r="CK3304">
        <v>23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"080068788226"</f>
        <v>080068788226</v>
      </c>
      <c r="F3305" s="3">
        <v>45958</v>
      </c>
      <c r="G3305">
        <v>202607</v>
      </c>
      <c r="H3305" t="s">
        <v>79</v>
      </c>
      <c r="I3305" t="s">
        <v>80</v>
      </c>
      <c r="J3305" t="s">
        <v>91</v>
      </c>
      <c r="K3305" t="s">
        <v>78</v>
      </c>
      <c r="L3305" t="s">
        <v>306</v>
      </c>
      <c r="M3305" t="s">
        <v>307</v>
      </c>
      <c r="N3305" t="s">
        <v>3539</v>
      </c>
      <c r="O3305" t="s">
        <v>82</v>
      </c>
      <c r="P3305" t="str">
        <f>"4170066438                    "</f>
        <v xml:space="preserve">4170066438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22.36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16.739999999999998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87.7</v>
      </c>
      <c r="BM3305">
        <v>13.16</v>
      </c>
      <c r="BN3305">
        <v>100.86</v>
      </c>
      <c r="BO3305">
        <v>100.86</v>
      </c>
      <c r="BQ3305" t="s">
        <v>3540</v>
      </c>
      <c r="BR3305" t="s">
        <v>97</v>
      </c>
      <c r="BS3305" s="3">
        <v>45959</v>
      </c>
      <c r="BT3305" s="4">
        <v>0.56944444444444442</v>
      </c>
      <c r="BU3305" t="s">
        <v>3541</v>
      </c>
      <c r="BV3305" t="s">
        <v>90</v>
      </c>
      <c r="BW3305" t="s">
        <v>771</v>
      </c>
      <c r="BX3305" t="s">
        <v>137</v>
      </c>
      <c r="BY3305">
        <v>1200</v>
      </c>
      <c r="BZ3305" t="s">
        <v>30</v>
      </c>
      <c r="CA3305" t="s">
        <v>157</v>
      </c>
      <c r="CC3305" t="s">
        <v>307</v>
      </c>
      <c r="CD3305">
        <v>4133</v>
      </c>
      <c r="CE3305" t="s">
        <v>147</v>
      </c>
      <c r="CF3305" s="3">
        <v>45960</v>
      </c>
      <c r="CI3305">
        <v>1</v>
      </c>
      <c r="CJ3305">
        <v>1</v>
      </c>
      <c r="CK3305">
        <v>21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"080068788243"</f>
        <v>080068788243</v>
      </c>
      <c r="F3306" s="3">
        <v>45958</v>
      </c>
      <c r="G3306">
        <v>202607</v>
      </c>
      <c r="H3306" t="s">
        <v>79</v>
      </c>
      <c r="I3306" t="s">
        <v>80</v>
      </c>
      <c r="J3306" t="s">
        <v>91</v>
      </c>
      <c r="K3306" t="s">
        <v>78</v>
      </c>
      <c r="L3306" t="s">
        <v>108</v>
      </c>
      <c r="M3306" t="s">
        <v>109</v>
      </c>
      <c r="N3306" t="s">
        <v>3542</v>
      </c>
      <c r="O3306" t="s">
        <v>82</v>
      </c>
      <c r="P3306" t="str">
        <f>"4170066439                    "</f>
        <v xml:space="preserve">4170066439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22.36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1.1000000000000001</v>
      </c>
      <c r="BK3306">
        <v>1.5</v>
      </c>
      <c r="BL3306">
        <v>70.959999999999994</v>
      </c>
      <c r="BM3306">
        <v>10.64</v>
      </c>
      <c r="BN3306">
        <v>81.599999999999994</v>
      </c>
      <c r="BO3306">
        <v>81.599999999999994</v>
      </c>
      <c r="BQ3306" t="s">
        <v>3543</v>
      </c>
      <c r="BR3306" t="s">
        <v>97</v>
      </c>
      <c r="BS3306" s="3">
        <v>45959</v>
      </c>
      <c r="BT3306" s="4">
        <v>0.43611111111111112</v>
      </c>
      <c r="BU3306" t="s">
        <v>3544</v>
      </c>
      <c r="BV3306" t="s">
        <v>86</v>
      </c>
      <c r="BY3306">
        <v>5510</v>
      </c>
      <c r="CA3306" t="s">
        <v>559</v>
      </c>
      <c r="CC3306" t="s">
        <v>109</v>
      </c>
      <c r="CD3306">
        <v>6000</v>
      </c>
      <c r="CE3306" t="s">
        <v>191</v>
      </c>
      <c r="CF3306" s="3">
        <v>45959</v>
      </c>
      <c r="CI3306">
        <v>1</v>
      </c>
      <c r="CJ3306">
        <v>1</v>
      </c>
      <c r="CK3306">
        <v>21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"080068788265"</f>
        <v>080068788265</v>
      </c>
      <c r="F3307" s="3">
        <v>45958</v>
      </c>
      <c r="G3307">
        <v>202607</v>
      </c>
      <c r="H3307" t="s">
        <v>79</v>
      </c>
      <c r="I3307" t="s">
        <v>80</v>
      </c>
      <c r="J3307" t="s">
        <v>91</v>
      </c>
      <c r="K3307" t="s">
        <v>78</v>
      </c>
      <c r="L3307" t="s">
        <v>108</v>
      </c>
      <c r="M3307" t="s">
        <v>109</v>
      </c>
      <c r="N3307" t="s">
        <v>315</v>
      </c>
      <c r="O3307" t="s">
        <v>82</v>
      </c>
      <c r="P3307" t="str">
        <f>"4170066395                    "</f>
        <v xml:space="preserve">4170066395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22.36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70.959999999999994</v>
      </c>
      <c r="BM3307">
        <v>10.64</v>
      </c>
      <c r="BN3307">
        <v>81.599999999999994</v>
      </c>
      <c r="BO3307">
        <v>81.599999999999994</v>
      </c>
      <c r="BQ3307" t="s">
        <v>1351</v>
      </c>
      <c r="BR3307" t="s">
        <v>97</v>
      </c>
      <c r="BS3307" s="3">
        <v>45959</v>
      </c>
      <c r="BT3307" s="4">
        <v>0.32916666666666666</v>
      </c>
      <c r="BU3307" t="s">
        <v>3523</v>
      </c>
      <c r="BV3307" t="s">
        <v>86</v>
      </c>
      <c r="BY3307">
        <v>1200</v>
      </c>
      <c r="CA3307" t="s">
        <v>113</v>
      </c>
      <c r="CC3307" t="s">
        <v>109</v>
      </c>
      <c r="CD3307">
        <v>6045</v>
      </c>
      <c r="CE3307" t="s">
        <v>147</v>
      </c>
      <c r="CF3307" s="3">
        <v>45959</v>
      </c>
      <c r="CI3307">
        <v>1</v>
      </c>
      <c r="CJ3307">
        <v>1</v>
      </c>
      <c r="CK3307">
        <v>21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"080068788315"</f>
        <v>080068788315</v>
      </c>
      <c r="F3308" s="3">
        <v>45958</v>
      </c>
      <c r="G3308">
        <v>202607</v>
      </c>
      <c r="H3308" t="s">
        <v>79</v>
      </c>
      <c r="I3308" t="s">
        <v>80</v>
      </c>
      <c r="J3308" t="s">
        <v>91</v>
      </c>
      <c r="K3308" t="s">
        <v>78</v>
      </c>
      <c r="L3308" t="s">
        <v>148</v>
      </c>
      <c r="M3308" t="s">
        <v>149</v>
      </c>
      <c r="N3308" t="s">
        <v>465</v>
      </c>
      <c r="O3308" t="s">
        <v>82</v>
      </c>
      <c r="P3308" t="str">
        <f>"4170066442                    "</f>
        <v xml:space="preserve">4170066442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17.46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55.42</v>
      </c>
      <c r="BM3308">
        <v>8.31</v>
      </c>
      <c r="BN3308">
        <v>63.73</v>
      </c>
      <c r="BO3308">
        <v>63.73</v>
      </c>
      <c r="BQ3308" t="s">
        <v>466</v>
      </c>
      <c r="BR3308" t="s">
        <v>97</v>
      </c>
      <c r="BS3308" s="3">
        <v>45959</v>
      </c>
      <c r="BT3308" s="4">
        <v>0.36805555555555558</v>
      </c>
      <c r="BU3308" t="s">
        <v>3533</v>
      </c>
      <c r="BV3308" t="s">
        <v>86</v>
      </c>
      <c r="BY3308">
        <v>1200</v>
      </c>
      <c r="CA3308" t="s">
        <v>1408</v>
      </c>
      <c r="CC3308" t="s">
        <v>149</v>
      </c>
      <c r="CD3308">
        <v>2094</v>
      </c>
      <c r="CE3308" t="s">
        <v>147</v>
      </c>
      <c r="CF3308" s="3">
        <v>45960</v>
      </c>
      <c r="CI3308">
        <v>1</v>
      </c>
      <c r="CJ3308">
        <v>1</v>
      </c>
      <c r="CK3308">
        <v>22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"080068788392"</f>
        <v>080068788392</v>
      </c>
      <c r="F3309" s="3">
        <v>45958</v>
      </c>
      <c r="G3309">
        <v>202607</v>
      </c>
      <c r="H3309" t="s">
        <v>79</v>
      </c>
      <c r="I3309" t="s">
        <v>80</v>
      </c>
      <c r="J3309" t="s">
        <v>91</v>
      </c>
      <c r="K3309" t="s">
        <v>78</v>
      </c>
      <c r="L3309" t="s">
        <v>223</v>
      </c>
      <c r="M3309" t="s">
        <v>224</v>
      </c>
      <c r="N3309" t="s">
        <v>1019</v>
      </c>
      <c r="O3309" t="s">
        <v>82</v>
      </c>
      <c r="P3309" t="str">
        <f>"4170066440                    "</f>
        <v xml:space="preserve">4170066440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17.46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55.42</v>
      </c>
      <c r="BM3309">
        <v>8.31</v>
      </c>
      <c r="BN3309">
        <v>63.73</v>
      </c>
      <c r="BO3309">
        <v>63.73</v>
      </c>
      <c r="BQ3309" t="s">
        <v>1020</v>
      </c>
      <c r="BR3309" t="s">
        <v>97</v>
      </c>
      <c r="BS3309" s="3">
        <v>45959</v>
      </c>
      <c r="BT3309" s="4">
        <v>0.3659722222222222</v>
      </c>
      <c r="BU3309" t="s">
        <v>2118</v>
      </c>
      <c r="BV3309" t="s">
        <v>86</v>
      </c>
      <c r="BY3309">
        <v>1200</v>
      </c>
      <c r="CA3309" t="s">
        <v>508</v>
      </c>
      <c r="CC3309" t="s">
        <v>224</v>
      </c>
      <c r="CD3309">
        <v>1460</v>
      </c>
      <c r="CE3309" t="s">
        <v>147</v>
      </c>
      <c r="CF3309" s="3">
        <v>45959</v>
      </c>
      <c r="CI3309">
        <v>1</v>
      </c>
      <c r="CJ3309">
        <v>1</v>
      </c>
      <c r="CK3309">
        <v>22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"080068788451"</f>
        <v>080068788451</v>
      </c>
      <c r="F3310" s="3">
        <v>45958</v>
      </c>
      <c r="G3310">
        <v>202607</v>
      </c>
      <c r="H3310" t="s">
        <v>79</v>
      </c>
      <c r="I3310" t="s">
        <v>80</v>
      </c>
      <c r="J3310" t="s">
        <v>91</v>
      </c>
      <c r="K3310" t="s">
        <v>78</v>
      </c>
      <c r="L3310" t="s">
        <v>453</v>
      </c>
      <c r="M3310" t="s">
        <v>454</v>
      </c>
      <c r="N3310" t="s">
        <v>1223</v>
      </c>
      <c r="O3310" t="s">
        <v>82</v>
      </c>
      <c r="P3310" t="str">
        <f>"4170066434                    "</f>
        <v xml:space="preserve">4170066434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22.36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70.959999999999994</v>
      </c>
      <c r="BM3310">
        <v>10.64</v>
      </c>
      <c r="BN3310">
        <v>81.599999999999994</v>
      </c>
      <c r="BO3310">
        <v>81.599999999999994</v>
      </c>
      <c r="BQ3310" t="s">
        <v>1224</v>
      </c>
      <c r="BR3310" t="s">
        <v>97</v>
      </c>
      <c r="BS3310" s="3">
        <v>45959</v>
      </c>
      <c r="BT3310" s="4">
        <v>0.53125</v>
      </c>
      <c r="BU3310" t="s">
        <v>2675</v>
      </c>
      <c r="BV3310" t="s">
        <v>86</v>
      </c>
      <c r="BY3310">
        <v>1200</v>
      </c>
      <c r="CA3310" t="s">
        <v>742</v>
      </c>
      <c r="CC3310" t="s">
        <v>454</v>
      </c>
      <c r="CD3310">
        <v>3610</v>
      </c>
      <c r="CE3310" t="s">
        <v>147</v>
      </c>
      <c r="CF3310" s="3">
        <v>45959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"080068788521"</f>
        <v>080068788521</v>
      </c>
      <c r="F3311" s="3">
        <v>45958</v>
      </c>
      <c r="G3311">
        <v>202607</v>
      </c>
      <c r="H3311" t="s">
        <v>79</v>
      </c>
      <c r="I3311" t="s">
        <v>80</v>
      </c>
      <c r="J3311" t="s">
        <v>91</v>
      </c>
      <c r="K3311" t="s">
        <v>78</v>
      </c>
      <c r="L3311" t="s">
        <v>223</v>
      </c>
      <c r="M3311" t="s">
        <v>224</v>
      </c>
      <c r="N3311" t="s">
        <v>652</v>
      </c>
      <c r="O3311" t="s">
        <v>82</v>
      </c>
      <c r="P3311" t="str">
        <f>"4170066432                    "</f>
        <v xml:space="preserve">4170066432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17.46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55.42</v>
      </c>
      <c r="BM3311">
        <v>8.31</v>
      </c>
      <c r="BN3311">
        <v>63.73</v>
      </c>
      <c r="BO3311">
        <v>63.73</v>
      </c>
      <c r="BQ3311" t="s">
        <v>653</v>
      </c>
      <c r="BR3311" t="s">
        <v>97</v>
      </c>
      <c r="BS3311" s="3">
        <v>45959</v>
      </c>
      <c r="BT3311" s="4">
        <v>0.35</v>
      </c>
      <c r="BU3311" t="s">
        <v>2902</v>
      </c>
      <c r="BV3311" t="s">
        <v>86</v>
      </c>
      <c r="BY3311">
        <v>1200</v>
      </c>
      <c r="CA3311" t="s">
        <v>508</v>
      </c>
      <c r="CC3311" t="s">
        <v>224</v>
      </c>
      <c r="CD3311">
        <v>1460</v>
      </c>
      <c r="CE3311" t="s">
        <v>147</v>
      </c>
      <c r="CF3311" s="3">
        <v>45959</v>
      </c>
      <c r="CI3311">
        <v>1</v>
      </c>
      <c r="CJ3311">
        <v>1</v>
      </c>
      <c r="CK3311">
        <v>22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"080068788599"</f>
        <v>080068788599</v>
      </c>
      <c r="F3312" s="3">
        <v>45958</v>
      </c>
      <c r="G3312">
        <v>202607</v>
      </c>
      <c r="H3312" t="s">
        <v>79</v>
      </c>
      <c r="I3312" t="s">
        <v>80</v>
      </c>
      <c r="J3312" t="s">
        <v>91</v>
      </c>
      <c r="K3312" t="s">
        <v>78</v>
      </c>
      <c r="L3312" t="s">
        <v>1095</v>
      </c>
      <c r="M3312" t="s">
        <v>1096</v>
      </c>
      <c r="N3312" t="s">
        <v>1538</v>
      </c>
      <c r="O3312" t="s">
        <v>82</v>
      </c>
      <c r="P3312" t="str">
        <f>"4170066428                    "</f>
        <v xml:space="preserve">4170066428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43.31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137.47</v>
      </c>
      <c r="BM3312">
        <v>20.62</v>
      </c>
      <c r="BN3312">
        <v>158.09</v>
      </c>
      <c r="BO3312">
        <v>158.09</v>
      </c>
      <c r="BQ3312" t="s">
        <v>1539</v>
      </c>
      <c r="BR3312" t="s">
        <v>97</v>
      </c>
      <c r="BS3312" s="3">
        <v>45959</v>
      </c>
      <c r="BT3312" s="4">
        <v>0.43402777777777779</v>
      </c>
      <c r="BU3312" t="s">
        <v>1923</v>
      </c>
      <c r="BV3312" t="s">
        <v>86</v>
      </c>
      <c r="BY3312">
        <v>1200</v>
      </c>
      <c r="CA3312" t="s">
        <v>1099</v>
      </c>
      <c r="CC3312" t="s">
        <v>1096</v>
      </c>
      <c r="CD3312">
        <v>2302</v>
      </c>
      <c r="CE3312" t="s">
        <v>147</v>
      </c>
      <c r="CF3312" s="3">
        <v>45960</v>
      </c>
      <c r="CI3312">
        <v>1</v>
      </c>
      <c r="CJ3312">
        <v>1</v>
      </c>
      <c r="CK3312">
        <v>23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"080068788616"</f>
        <v>080068788616</v>
      </c>
      <c r="F3313" s="3">
        <v>45958</v>
      </c>
      <c r="G3313">
        <v>202607</v>
      </c>
      <c r="H3313" t="s">
        <v>79</v>
      </c>
      <c r="I3313" t="s">
        <v>80</v>
      </c>
      <c r="J3313" t="s">
        <v>91</v>
      </c>
      <c r="K3313" t="s">
        <v>78</v>
      </c>
      <c r="L3313" t="s">
        <v>195</v>
      </c>
      <c r="M3313" t="s">
        <v>196</v>
      </c>
      <c r="N3313" t="s">
        <v>197</v>
      </c>
      <c r="O3313" t="s">
        <v>226</v>
      </c>
      <c r="P3313" t="str">
        <f>"4170066354                    "</f>
        <v xml:space="preserve">4170066354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100.08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4.2</v>
      </c>
      <c r="BK3313">
        <v>4.5</v>
      </c>
      <c r="BL3313">
        <v>317.64</v>
      </c>
      <c r="BM3313">
        <v>47.65</v>
      </c>
      <c r="BN3313">
        <v>365.29</v>
      </c>
      <c r="BO3313">
        <v>365.29</v>
      </c>
      <c r="BQ3313" t="s">
        <v>198</v>
      </c>
      <c r="BR3313" t="s">
        <v>97</v>
      </c>
      <c r="BS3313" s="3">
        <v>45959</v>
      </c>
      <c r="BT3313" s="4">
        <v>0.45833333333333331</v>
      </c>
      <c r="BU3313" t="s">
        <v>1328</v>
      </c>
      <c r="BV3313" t="s">
        <v>86</v>
      </c>
      <c r="BY3313">
        <v>20944</v>
      </c>
      <c r="CA3313" t="s">
        <v>200</v>
      </c>
      <c r="CC3313" t="s">
        <v>196</v>
      </c>
      <c r="CD3313">
        <v>1900</v>
      </c>
      <c r="CE3313" t="s">
        <v>107</v>
      </c>
      <c r="CF3313" s="3">
        <v>45960</v>
      </c>
      <c r="CI3313">
        <v>1</v>
      </c>
      <c r="CJ3313">
        <v>1</v>
      </c>
      <c r="CK3313">
        <v>33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"080068788636"</f>
        <v>080068788636</v>
      </c>
      <c r="F3314" s="3">
        <v>45958</v>
      </c>
      <c r="G3314">
        <v>202607</v>
      </c>
      <c r="H3314" t="s">
        <v>79</v>
      </c>
      <c r="I3314" t="s">
        <v>80</v>
      </c>
      <c r="J3314" t="s">
        <v>91</v>
      </c>
      <c r="K3314" t="s">
        <v>78</v>
      </c>
      <c r="L3314" t="s">
        <v>121</v>
      </c>
      <c r="M3314" t="s">
        <v>122</v>
      </c>
      <c r="N3314" t="s">
        <v>123</v>
      </c>
      <c r="O3314" t="s">
        <v>82</v>
      </c>
      <c r="P3314" t="str">
        <f>"4170066437                    "</f>
        <v xml:space="preserve">4170066437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22.36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70.959999999999994</v>
      </c>
      <c r="BM3314">
        <v>10.64</v>
      </c>
      <c r="BN3314">
        <v>81.599999999999994</v>
      </c>
      <c r="BO3314">
        <v>81.599999999999994</v>
      </c>
      <c r="BQ3314" t="s">
        <v>124</v>
      </c>
      <c r="BR3314" t="s">
        <v>97</v>
      </c>
      <c r="BS3314" s="3">
        <v>45959</v>
      </c>
      <c r="BT3314" s="4">
        <v>0.34305555555555556</v>
      </c>
      <c r="BU3314" t="s">
        <v>3178</v>
      </c>
      <c r="BV3314" t="s">
        <v>86</v>
      </c>
      <c r="BY3314">
        <v>1200</v>
      </c>
      <c r="CA3314" t="s">
        <v>126</v>
      </c>
      <c r="CC3314" t="s">
        <v>122</v>
      </c>
      <c r="CD3314">
        <v>4000</v>
      </c>
      <c r="CE3314" t="s">
        <v>147</v>
      </c>
      <c r="CF3314" s="3">
        <v>45959</v>
      </c>
      <c r="CI3314">
        <v>1</v>
      </c>
      <c r="CJ3314">
        <v>1</v>
      </c>
      <c r="CK3314">
        <v>21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"080068788664"</f>
        <v>080068788664</v>
      </c>
      <c r="F3315" s="3">
        <v>45958</v>
      </c>
      <c r="G3315">
        <v>202607</v>
      </c>
      <c r="H3315" t="s">
        <v>79</v>
      </c>
      <c r="I3315" t="s">
        <v>80</v>
      </c>
      <c r="J3315" t="s">
        <v>91</v>
      </c>
      <c r="K3315" t="s">
        <v>78</v>
      </c>
      <c r="L3315" t="s">
        <v>121</v>
      </c>
      <c r="M3315" t="s">
        <v>122</v>
      </c>
      <c r="N3315" t="s">
        <v>3545</v>
      </c>
      <c r="O3315" t="s">
        <v>82</v>
      </c>
      <c r="P3315" t="str">
        <f>"4170066362                    "</f>
        <v xml:space="preserve">4170066362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50.28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4.5</v>
      </c>
      <c r="BK3315">
        <v>4.5</v>
      </c>
      <c r="BL3315">
        <v>159.58000000000001</v>
      </c>
      <c r="BM3315">
        <v>23.94</v>
      </c>
      <c r="BN3315">
        <v>183.52</v>
      </c>
      <c r="BO3315">
        <v>183.52</v>
      </c>
      <c r="BQ3315" t="s">
        <v>3546</v>
      </c>
      <c r="BR3315" t="s">
        <v>97</v>
      </c>
      <c r="BS3315" s="3">
        <v>45959</v>
      </c>
      <c r="BT3315" s="4">
        <v>0.36388888888888887</v>
      </c>
      <c r="BU3315" t="s">
        <v>3547</v>
      </c>
      <c r="BV3315" t="s">
        <v>86</v>
      </c>
      <c r="BY3315">
        <v>22528</v>
      </c>
      <c r="CA3315" t="s">
        <v>331</v>
      </c>
      <c r="CC3315" t="s">
        <v>122</v>
      </c>
      <c r="CD3315">
        <v>4060</v>
      </c>
      <c r="CE3315" t="s">
        <v>107</v>
      </c>
      <c r="CF3315" s="3">
        <v>45960</v>
      </c>
      <c r="CI3315">
        <v>1</v>
      </c>
      <c r="CJ3315">
        <v>1</v>
      </c>
      <c r="CK3315">
        <v>21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"080068788670"</f>
        <v>080068788670</v>
      </c>
      <c r="F3316" s="3">
        <v>45958</v>
      </c>
      <c r="G3316">
        <v>202607</v>
      </c>
      <c r="H3316" t="s">
        <v>79</v>
      </c>
      <c r="I3316" t="s">
        <v>80</v>
      </c>
      <c r="J3316" t="s">
        <v>91</v>
      </c>
      <c r="K3316" t="s">
        <v>78</v>
      </c>
      <c r="L3316" t="s">
        <v>121</v>
      </c>
      <c r="M3316" t="s">
        <v>122</v>
      </c>
      <c r="N3316" t="s">
        <v>123</v>
      </c>
      <c r="O3316" t="s">
        <v>82</v>
      </c>
      <c r="P3316" t="str">
        <f>"4170066433                    "</f>
        <v xml:space="preserve">4170066433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22.36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70.959999999999994</v>
      </c>
      <c r="BM3316">
        <v>10.64</v>
      </c>
      <c r="BN3316">
        <v>81.599999999999994</v>
      </c>
      <c r="BO3316">
        <v>81.599999999999994</v>
      </c>
      <c r="BQ3316" t="s">
        <v>124</v>
      </c>
      <c r="BR3316" t="s">
        <v>97</v>
      </c>
      <c r="BS3316" s="3">
        <v>45959</v>
      </c>
      <c r="BT3316" s="4">
        <v>0.34305555555555556</v>
      </c>
      <c r="BU3316" t="s">
        <v>3178</v>
      </c>
      <c r="BV3316" t="s">
        <v>86</v>
      </c>
      <c r="BY3316">
        <v>1200</v>
      </c>
      <c r="CA3316" t="s">
        <v>126</v>
      </c>
      <c r="CC3316" t="s">
        <v>122</v>
      </c>
      <c r="CD3316">
        <v>4000</v>
      </c>
      <c r="CE3316" t="s">
        <v>147</v>
      </c>
      <c r="CF3316" s="3">
        <v>45959</v>
      </c>
      <c r="CI3316">
        <v>1</v>
      </c>
      <c r="CJ3316">
        <v>1</v>
      </c>
      <c r="CK3316">
        <v>21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"080068788710"</f>
        <v>080068788710</v>
      </c>
      <c r="F3317" s="3">
        <v>45958</v>
      </c>
      <c r="G3317">
        <v>202607</v>
      </c>
      <c r="H3317" t="s">
        <v>79</v>
      </c>
      <c r="I3317" t="s">
        <v>80</v>
      </c>
      <c r="J3317" t="s">
        <v>91</v>
      </c>
      <c r="K3317" t="s">
        <v>78</v>
      </c>
      <c r="L3317" t="s">
        <v>271</v>
      </c>
      <c r="M3317" t="s">
        <v>272</v>
      </c>
      <c r="N3317" t="s">
        <v>1714</v>
      </c>
      <c r="O3317" t="s">
        <v>82</v>
      </c>
      <c r="P3317" t="str">
        <f>"4170066377                    "</f>
        <v xml:space="preserve">4170066377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17.46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55.42</v>
      </c>
      <c r="BM3317">
        <v>8.31</v>
      </c>
      <c r="BN3317">
        <v>63.73</v>
      </c>
      <c r="BO3317">
        <v>63.73</v>
      </c>
      <c r="BQ3317" t="s">
        <v>1715</v>
      </c>
      <c r="BR3317" t="s">
        <v>97</v>
      </c>
      <c r="BS3317" s="3">
        <v>45959</v>
      </c>
      <c r="BT3317" s="4">
        <v>0.40694444444444444</v>
      </c>
      <c r="BU3317" t="s">
        <v>3548</v>
      </c>
      <c r="BV3317" t="s">
        <v>86</v>
      </c>
      <c r="BY3317">
        <v>1200</v>
      </c>
      <c r="CA3317" t="s">
        <v>1659</v>
      </c>
      <c r="CC3317" t="s">
        <v>272</v>
      </c>
      <c r="CD3317">
        <v>1401</v>
      </c>
      <c r="CE3317" t="s">
        <v>147</v>
      </c>
      <c r="CF3317" s="3">
        <v>45959</v>
      </c>
      <c r="CI3317">
        <v>1</v>
      </c>
      <c r="CJ3317">
        <v>1</v>
      </c>
      <c r="CK3317">
        <v>22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"080068788709"</f>
        <v>080068788709</v>
      </c>
      <c r="F3318" s="3">
        <v>45958</v>
      </c>
      <c r="G3318">
        <v>202607</v>
      </c>
      <c r="H3318" t="s">
        <v>79</v>
      </c>
      <c r="I3318" t="s">
        <v>80</v>
      </c>
      <c r="J3318" t="s">
        <v>91</v>
      </c>
      <c r="K3318" t="s">
        <v>78</v>
      </c>
      <c r="L3318" t="s">
        <v>281</v>
      </c>
      <c r="M3318" t="s">
        <v>282</v>
      </c>
      <c r="N3318" t="s">
        <v>866</v>
      </c>
      <c r="O3318" t="s">
        <v>82</v>
      </c>
      <c r="P3318" t="str">
        <f>"4170066346                    "</f>
        <v xml:space="preserve">4170066346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43.31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1.4</v>
      </c>
      <c r="BK3318">
        <v>1.5</v>
      </c>
      <c r="BL3318">
        <v>137.47</v>
      </c>
      <c r="BM3318">
        <v>20.62</v>
      </c>
      <c r="BN3318">
        <v>158.09</v>
      </c>
      <c r="BO3318">
        <v>158.09</v>
      </c>
      <c r="BQ3318" t="s">
        <v>867</v>
      </c>
      <c r="BR3318" t="s">
        <v>97</v>
      </c>
      <c r="BS3318" s="3">
        <v>45959</v>
      </c>
      <c r="BT3318" s="4">
        <v>0.4375</v>
      </c>
      <c r="BU3318" t="s">
        <v>3549</v>
      </c>
      <c r="BV3318" t="s">
        <v>86</v>
      </c>
      <c r="BY3318">
        <v>7168</v>
      </c>
      <c r="CA3318" t="s">
        <v>2018</v>
      </c>
      <c r="CC3318" t="s">
        <v>282</v>
      </c>
      <c r="CD3318">
        <v>1871</v>
      </c>
      <c r="CE3318" t="s">
        <v>107</v>
      </c>
      <c r="CF3318" s="3">
        <v>45960</v>
      </c>
      <c r="CI3318">
        <v>1</v>
      </c>
      <c r="CJ3318">
        <v>1</v>
      </c>
      <c r="CK3318">
        <v>23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"080068788756"</f>
        <v>080068788756</v>
      </c>
      <c r="F3319" s="3">
        <v>45958</v>
      </c>
      <c r="G3319">
        <v>202607</v>
      </c>
      <c r="H3319" t="s">
        <v>79</v>
      </c>
      <c r="I3319" t="s">
        <v>80</v>
      </c>
      <c r="J3319" t="s">
        <v>91</v>
      </c>
      <c r="K3319" t="s">
        <v>78</v>
      </c>
      <c r="L3319" t="s">
        <v>168</v>
      </c>
      <c r="M3319" t="s">
        <v>169</v>
      </c>
      <c r="N3319" t="s">
        <v>923</v>
      </c>
      <c r="O3319" t="s">
        <v>82</v>
      </c>
      <c r="P3319" t="str">
        <f>"4170065493                    "</f>
        <v xml:space="preserve">4170065493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22.36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70.959999999999994</v>
      </c>
      <c r="BM3319">
        <v>10.64</v>
      </c>
      <c r="BN3319">
        <v>81.599999999999994</v>
      </c>
      <c r="BO3319">
        <v>81.599999999999994</v>
      </c>
      <c r="BQ3319" t="s">
        <v>924</v>
      </c>
      <c r="BR3319" t="s">
        <v>97</v>
      </c>
      <c r="BS3319" s="3">
        <v>45959</v>
      </c>
      <c r="BT3319" s="4">
        <v>0.3347222222222222</v>
      </c>
      <c r="BU3319" t="s">
        <v>1121</v>
      </c>
      <c r="BV3319" t="s">
        <v>86</v>
      </c>
      <c r="BY3319">
        <v>1200</v>
      </c>
      <c r="CA3319">
        <v>9107126013089</v>
      </c>
      <c r="CC3319" t="s">
        <v>169</v>
      </c>
      <c r="CD3319" s="5" t="s">
        <v>926</v>
      </c>
      <c r="CE3319" t="s">
        <v>147</v>
      </c>
      <c r="CF3319" s="3">
        <v>45959</v>
      </c>
      <c r="CI3319">
        <v>1</v>
      </c>
      <c r="CJ3319">
        <v>1</v>
      </c>
      <c r="CK3319">
        <v>21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"080068788993"</f>
        <v>080068788993</v>
      </c>
      <c r="F3320" s="3">
        <v>45958</v>
      </c>
      <c r="G3320">
        <v>202607</v>
      </c>
      <c r="H3320" t="s">
        <v>79</v>
      </c>
      <c r="I3320" t="s">
        <v>80</v>
      </c>
      <c r="J3320" t="s">
        <v>91</v>
      </c>
      <c r="K3320" t="s">
        <v>78</v>
      </c>
      <c r="L3320" t="s">
        <v>265</v>
      </c>
      <c r="M3320" t="s">
        <v>266</v>
      </c>
      <c r="N3320" t="s">
        <v>267</v>
      </c>
      <c r="O3320" t="s">
        <v>95</v>
      </c>
      <c r="P3320" t="str">
        <f>"4170066415                    "</f>
        <v xml:space="preserve">4170066415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80.709999999999994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2</v>
      </c>
      <c r="BI3320">
        <v>31</v>
      </c>
      <c r="BJ3320">
        <v>35.200000000000003</v>
      </c>
      <c r="BK3320">
        <v>36</v>
      </c>
      <c r="BL3320">
        <v>262.04000000000002</v>
      </c>
      <c r="BM3320">
        <v>39.31</v>
      </c>
      <c r="BN3320">
        <v>301.35000000000002</v>
      </c>
      <c r="BO3320">
        <v>301.35000000000002</v>
      </c>
      <c r="BQ3320" t="s">
        <v>268</v>
      </c>
      <c r="BR3320" t="s">
        <v>97</v>
      </c>
      <c r="BS3320" s="3">
        <v>45960</v>
      </c>
      <c r="BT3320" s="4">
        <v>0.33333333333333331</v>
      </c>
      <c r="BU3320" t="s">
        <v>3198</v>
      </c>
      <c r="BV3320" t="s">
        <v>86</v>
      </c>
      <c r="BY3320">
        <v>175872</v>
      </c>
      <c r="CA3320" t="s">
        <v>818</v>
      </c>
      <c r="CC3320" t="s">
        <v>266</v>
      </c>
      <c r="CD3320">
        <v>6230</v>
      </c>
      <c r="CE3320" t="s">
        <v>107</v>
      </c>
      <c r="CI3320">
        <v>3</v>
      </c>
      <c r="CJ3320">
        <v>2</v>
      </c>
      <c r="CK3320">
        <v>41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"080068789059"</f>
        <v>080068789059</v>
      </c>
      <c r="F3321" s="3">
        <v>45958</v>
      </c>
      <c r="G3321">
        <v>202607</v>
      </c>
      <c r="H3321" t="s">
        <v>79</v>
      </c>
      <c r="I3321" t="s">
        <v>80</v>
      </c>
      <c r="J3321" t="s">
        <v>91</v>
      </c>
      <c r="K3321" t="s">
        <v>78</v>
      </c>
      <c r="L3321" t="s">
        <v>333</v>
      </c>
      <c r="M3321" t="s">
        <v>334</v>
      </c>
      <c r="N3321" t="s">
        <v>794</v>
      </c>
      <c r="O3321" t="s">
        <v>82</v>
      </c>
      <c r="P3321" t="str">
        <f>"4170066454                    "</f>
        <v xml:space="preserve">4170066454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22.36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70.959999999999994</v>
      </c>
      <c r="BM3321">
        <v>10.64</v>
      </c>
      <c r="BN3321">
        <v>81.599999999999994</v>
      </c>
      <c r="BO3321">
        <v>81.599999999999994</v>
      </c>
      <c r="BQ3321" t="s">
        <v>795</v>
      </c>
      <c r="BR3321" t="s">
        <v>97</v>
      </c>
      <c r="BS3321" s="3">
        <v>45959</v>
      </c>
      <c r="BT3321" s="4">
        <v>0.43541666666666667</v>
      </c>
      <c r="BU3321" t="s">
        <v>796</v>
      </c>
      <c r="BV3321" t="s">
        <v>86</v>
      </c>
      <c r="BY3321">
        <v>1200</v>
      </c>
      <c r="CA3321" t="s">
        <v>142</v>
      </c>
      <c r="CC3321" t="s">
        <v>334</v>
      </c>
      <c r="CD3321">
        <v>6220</v>
      </c>
      <c r="CE3321" t="s">
        <v>147</v>
      </c>
      <c r="CF3321" s="3">
        <v>45959</v>
      </c>
      <c r="CI3321">
        <v>1</v>
      </c>
      <c r="CJ3321">
        <v>1</v>
      </c>
      <c r="CK3321">
        <v>21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"080068789105"</f>
        <v>080068789105</v>
      </c>
      <c r="F3322" s="3">
        <v>45958</v>
      </c>
      <c r="G3322">
        <v>202607</v>
      </c>
      <c r="H3322" t="s">
        <v>79</v>
      </c>
      <c r="I3322" t="s">
        <v>80</v>
      </c>
      <c r="J3322" t="s">
        <v>91</v>
      </c>
      <c r="K3322" t="s">
        <v>78</v>
      </c>
      <c r="L3322" t="s">
        <v>453</v>
      </c>
      <c r="M3322" t="s">
        <v>454</v>
      </c>
      <c r="N3322" t="s">
        <v>968</v>
      </c>
      <c r="O3322" t="s">
        <v>82</v>
      </c>
      <c r="P3322" t="str">
        <f>"4170066453                    "</f>
        <v xml:space="preserve">4170066453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22.36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70.959999999999994</v>
      </c>
      <c r="BM3322">
        <v>10.64</v>
      </c>
      <c r="BN3322">
        <v>81.599999999999994</v>
      </c>
      <c r="BO3322">
        <v>81.599999999999994</v>
      </c>
      <c r="BQ3322" t="s">
        <v>969</v>
      </c>
      <c r="BR3322" t="s">
        <v>97</v>
      </c>
      <c r="BS3322" s="3">
        <v>45959</v>
      </c>
      <c r="BT3322" s="4">
        <v>0.42222222222222222</v>
      </c>
      <c r="BU3322" t="s">
        <v>1399</v>
      </c>
      <c r="BV3322" t="s">
        <v>86</v>
      </c>
      <c r="BY3322">
        <v>1200</v>
      </c>
      <c r="CA3322" t="s">
        <v>457</v>
      </c>
      <c r="CC3322" t="s">
        <v>454</v>
      </c>
      <c r="CD3322">
        <v>3600</v>
      </c>
      <c r="CE3322" t="s">
        <v>1955</v>
      </c>
      <c r="CF3322" s="3">
        <v>45960</v>
      </c>
      <c r="CI3322">
        <v>1</v>
      </c>
      <c r="CJ3322">
        <v>1</v>
      </c>
      <c r="CK3322">
        <v>21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"080068789225"</f>
        <v>080068789225</v>
      </c>
      <c r="F3323" s="3">
        <v>45958</v>
      </c>
      <c r="G3323">
        <v>202607</v>
      </c>
      <c r="H3323" t="s">
        <v>79</v>
      </c>
      <c r="I3323" t="s">
        <v>80</v>
      </c>
      <c r="J3323" t="s">
        <v>91</v>
      </c>
      <c r="K3323" t="s">
        <v>78</v>
      </c>
      <c r="L3323" t="s">
        <v>206</v>
      </c>
      <c r="M3323" t="s">
        <v>207</v>
      </c>
      <c r="N3323" t="s">
        <v>1129</v>
      </c>
      <c r="O3323" t="s">
        <v>82</v>
      </c>
      <c r="P3323" t="str">
        <f>"4170066436                    "</f>
        <v xml:space="preserve">4170066436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22.36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70.959999999999994</v>
      </c>
      <c r="BM3323">
        <v>10.64</v>
      </c>
      <c r="BN3323">
        <v>81.599999999999994</v>
      </c>
      <c r="BO3323">
        <v>81.599999999999994</v>
      </c>
      <c r="BQ3323" t="s">
        <v>1130</v>
      </c>
      <c r="BR3323" t="s">
        <v>97</v>
      </c>
      <c r="BS3323" s="3">
        <v>45959</v>
      </c>
      <c r="BT3323" s="4">
        <v>0.41597222222222224</v>
      </c>
      <c r="BU3323" t="s">
        <v>3550</v>
      </c>
      <c r="BV3323" t="s">
        <v>86</v>
      </c>
      <c r="BY3323">
        <v>1200</v>
      </c>
      <c r="CA3323" t="s">
        <v>388</v>
      </c>
      <c r="CC3323" t="s">
        <v>207</v>
      </c>
      <c r="CD3323">
        <v>7405</v>
      </c>
      <c r="CE3323" t="s">
        <v>147</v>
      </c>
      <c r="CF3323" s="3">
        <v>45960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"080068789285"</f>
        <v>080068789285</v>
      </c>
      <c r="F3324" s="3">
        <v>45958</v>
      </c>
      <c r="G3324">
        <v>202607</v>
      </c>
      <c r="H3324" t="s">
        <v>79</v>
      </c>
      <c r="I3324" t="s">
        <v>80</v>
      </c>
      <c r="J3324" t="s">
        <v>91</v>
      </c>
      <c r="K3324" t="s">
        <v>78</v>
      </c>
      <c r="L3324" t="s">
        <v>239</v>
      </c>
      <c r="M3324" t="s">
        <v>240</v>
      </c>
      <c r="N3324" t="s">
        <v>526</v>
      </c>
      <c r="O3324" t="s">
        <v>82</v>
      </c>
      <c r="P3324" t="str">
        <f>"4170066382                    "</f>
        <v xml:space="preserve">4170066382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43.31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2</v>
      </c>
      <c r="BJ3324">
        <v>1.9</v>
      </c>
      <c r="BK3324">
        <v>2</v>
      </c>
      <c r="BL3324">
        <v>137.47</v>
      </c>
      <c r="BM3324">
        <v>20.62</v>
      </c>
      <c r="BN3324">
        <v>158.09</v>
      </c>
      <c r="BO3324">
        <v>158.09</v>
      </c>
      <c r="BQ3324" t="s">
        <v>527</v>
      </c>
      <c r="BR3324" t="s">
        <v>97</v>
      </c>
      <c r="BS3324" s="3">
        <v>45959</v>
      </c>
      <c r="BT3324" s="4">
        <v>0.4152777777777778</v>
      </c>
      <c r="BU3324" t="s">
        <v>3551</v>
      </c>
      <c r="BV3324" t="s">
        <v>86</v>
      </c>
      <c r="BY3324">
        <v>9600</v>
      </c>
      <c r="CC3324" t="s">
        <v>240</v>
      </c>
      <c r="CD3324" s="5" t="s">
        <v>245</v>
      </c>
      <c r="CE3324" t="s">
        <v>191</v>
      </c>
      <c r="CI3324">
        <v>1</v>
      </c>
      <c r="CJ3324">
        <v>1</v>
      </c>
      <c r="CK3324">
        <v>23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"080068789354"</f>
        <v>080068789354</v>
      </c>
      <c r="F3325" s="3">
        <v>45958</v>
      </c>
      <c r="G3325">
        <v>202607</v>
      </c>
      <c r="H3325" t="s">
        <v>79</v>
      </c>
      <c r="I3325" t="s">
        <v>80</v>
      </c>
      <c r="J3325" t="s">
        <v>91</v>
      </c>
      <c r="K3325" t="s">
        <v>78</v>
      </c>
      <c r="L3325" t="s">
        <v>108</v>
      </c>
      <c r="M3325" t="s">
        <v>109</v>
      </c>
      <c r="N3325" t="s">
        <v>2689</v>
      </c>
      <c r="O3325" t="s">
        <v>82</v>
      </c>
      <c r="P3325" t="str">
        <f>"4170066349                    "</f>
        <v xml:space="preserve">4170066349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100.54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9</v>
      </c>
      <c r="BJ3325">
        <v>1.9</v>
      </c>
      <c r="BK3325">
        <v>9</v>
      </c>
      <c r="BL3325">
        <v>319.10000000000002</v>
      </c>
      <c r="BM3325">
        <v>47.87</v>
      </c>
      <c r="BN3325">
        <v>366.97</v>
      </c>
      <c r="BO3325">
        <v>366.97</v>
      </c>
      <c r="BQ3325" t="s">
        <v>2690</v>
      </c>
      <c r="BR3325" t="s">
        <v>97</v>
      </c>
      <c r="BS3325" s="3">
        <v>45959</v>
      </c>
      <c r="BT3325" s="4">
        <v>0.40069444444444446</v>
      </c>
      <c r="BU3325" t="s">
        <v>2759</v>
      </c>
      <c r="BV3325" t="s">
        <v>86</v>
      </c>
      <c r="BY3325">
        <v>9600</v>
      </c>
      <c r="CA3325" t="s">
        <v>294</v>
      </c>
      <c r="CC3325" t="s">
        <v>109</v>
      </c>
      <c r="CD3325">
        <v>6001</v>
      </c>
      <c r="CE3325" t="s">
        <v>191</v>
      </c>
      <c r="CF3325" s="3">
        <v>45959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"080068789698"</f>
        <v>080068789698</v>
      </c>
      <c r="F3326" s="3">
        <v>45958</v>
      </c>
      <c r="G3326">
        <v>202607</v>
      </c>
      <c r="H3326" t="s">
        <v>79</v>
      </c>
      <c r="I3326" t="s">
        <v>80</v>
      </c>
      <c r="J3326" t="s">
        <v>91</v>
      </c>
      <c r="K3326" t="s">
        <v>78</v>
      </c>
      <c r="L3326" t="s">
        <v>453</v>
      </c>
      <c r="M3326" t="s">
        <v>454</v>
      </c>
      <c r="N3326" t="s">
        <v>455</v>
      </c>
      <c r="O3326" t="s">
        <v>82</v>
      </c>
      <c r="P3326" t="str">
        <f>"4170066462                    "</f>
        <v xml:space="preserve">4170066462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22.36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70.959999999999994</v>
      </c>
      <c r="BM3326">
        <v>10.64</v>
      </c>
      <c r="BN3326">
        <v>81.599999999999994</v>
      </c>
      <c r="BO3326">
        <v>81.599999999999994</v>
      </c>
      <c r="BQ3326" t="s">
        <v>456</v>
      </c>
      <c r="BR3326" t="s">
        <v>97</v>
      </c>
      <c r="BS3326" s="3">
        <v>45959</v>
      </c>
      <c r="BT3326" s="4">
        <v>0.4375</v>
      </c>
      <c r="BU3326" t="s">
        <v>434</v>
      </c>
      <c r="BV3326" t="s">
        <v>86</v>
      </c>
      <c r="BY3326">
        <v>1200</v>
      </c>
      <c r="CA3326" t="s">
        <v>457</v>
      </c>
      <c r="CC3326" t="s">
        <v>454</v>
      </c>
      <c r="CD3326">
        <v>3608</v>
      </c>
      <c r="CE3326" t="s">
        <v>147</v>
      </c>
      <c r="CF3326" s="3">
        <v>45960</v>
      </c>
      <c r="CI3326">
        <v>1</v>
      </c>
      <c r="CJ3326">
        <v>1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"080068789723"</f>
        <v>080068789723</v>
      </c>
      <c r="F3327" s="3">
        <v>45958</v>
      </c>
      <c r="G3327">
        <v>202607</v>
      </c>
      <c r="H3327" t="s">
        <v>79</v>
      </c>
      <c r="I3327" t="s">
        <v>80</v>
      </c>
      <c r="J3327" t="s">
        <v>91</v>
      </c>
      <c r="K3327" t="s">
        <v>78</v>
      </c>
      <c r="L3327" t="s">
        <v>79</v>
      </c>
      <c r="M3327" t="s">
        <v>80</v>
      </c>
      <c r="N3327" t="s">
        <v>2816</v>
      </c>
      <c r="O3327" t="s">
        <v>82</v>
      </c>
      <c r="P3327" t="str">
        <f>"4170066401                    "</f>
        <v xml:space="preserve">4170066401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17.46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55.42</v>
      </c>
      <c r="BM3327">
        <v>8.31</v>
      </c>
      <c r="BN3327">
        <v>63.73</v>
      </c>
      <c r="BO3327">
        <v>63.73</v>
      </c>
      <c r="BQ3327" t="s">
        <v>2817</v>
      </c>
      <c r="BR3327" t="s">
        <v>97</v>
      </c>
      <c r="BS3327" s="3">
        <v>45959</v>
      </c>
      <c r="BT3327" s="4">
        <v>0.31944444444444442</v>
      </c>
      <c r="BU3327" t="s">
        <v>1662</v>
      </c>
      <c r="BV3327" t="s">
        <v>86</v>
      </c>
      <c r="BY3327">
        <v>1200</v>
      </c>
      <c r="CA3327" t="s">
        <v>166</v>
      </c>
      <c r="CC3327" t="s">
        <v>80</v>
      </c>
      <c r="CD3327">
        <v>1600</v>
      </c>
      <c r="CE3327" t="s">
        <v>147</v>
      </c>
      <c r="CF3327" s="3">
        <v>45959</v>
      </c>
      <c r="CI3327">
        <v>1</v>
      </c>
      <c r="CJ3327">
        <v>1</v>
      </c>
      <c r="CK3327">
        <v>22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"080068789727"</f>
        <v>080068789727</v>
      </c>
      <c r="F3328" s="3">
        <v>45958</v>
      </c>
      <c r="G3328">
        <v>202607</v>
      </c>
      <c r="H3328" t="s">
        <v>79</v>
      </c>
      <c r="I3328" t="s">
        <v>80</v>
      </c>
      <c r="J3328" t="s">
        <v>91</v>
      </c>
      <c r="K3328" t="s">
        <v>78</v>
      </c>
      <c r="L3328" t="s">
        <v>430</v>
      </c>
      <c r="M3328" t="s">
        <v>431</v>
      </c>
      <c r="N3328" t="s">
        <v>3552</v>
      </c>
      <c r="O3328" t="s">
        <v>82</v>
      </c>
      <c r="P3328" t="str">
        <f>"4170066412                    "</f>
        <v xml:space="preserve">4170066412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180.23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6</v>
      </c>
      <c r="BJ3328">
        <v>8.9</v>
      </c>
      <c r="BK3328">
        <v>9</v>
      </c>
      <c r="BL3328">
        <v>572.03</v>
      </c>
      <c r="BM3328">
        <v>85.8</v>
      </c>
      <c r="BN3328">
        <v>657.83</v>
      </c>
      <c r="BO3328">
        <v>657.83</v>
      </c>
      <c r="BQ3328" t="s">
        <v>3553</v>
      </c>
      <c r="BR3328" t="s">
        <v>97</v>
      </c>
      <c r="BS3328" s="3">
        <v>45960</v>
      </c>
      <c r="BT3328" s="4">
        <v>0.46180555555555558</v>
      </c>
      <c r="BU3328" t="s">
        <v>3554</v>
      </c>
      <c r="BV3328" t="s">
        <v>90</v>
      </c>
      <c r="BY3328">
        <v>44640</v>
      </c>
      <c r="CA3328" t="s">
        <v>841</v>
      </c>
      <c r="CC3328" t="s">
        <v>431</v>
      </c>
      <c r="CD3328">
        <v>4490</v>
      </c>
      <c r="CE3328" t="s">
        <v>191</v>
      </c>
      <c r="CI3328">
        <v>5</v>
      </c>
      <c r="CJ3328">
        <v>2</v>
      </c>
      <c r="CK3328">
        <v>23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"080068789762"</f>
        <v>080068789762</v>
      </c>
      <c r="F3329" s="3">
        <v>45958</v>
      </c>
      <c r="G3329">
        <v>202607</v>
      </c>
      <c r="H3329" t="s">
        <v>79</v>
      </c>
      <c r="I3329" t="s">
        <v>80</v>
      </c>
      <c r="J3329" t="s">
        <v>91</v>
      </c>
      <c r="K3329" t="s">
        <v>78</v>
      </c>
      <c r="L3329" t="s">
        <v>322</v>
      </c>
      <c r="M3329" t="s">
        <v>322</v>
      </c>
      <c r="N3329" t="s">
        <v>483</v>
      </c>
      <c r="O3329" t="s">
        <v>82</v>
      </c>
      <c r="P3329" t="str">
        <f>"4170066441                    "</f>
        <v xml:space="preserve">4170066441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43.31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1.1000000000000001</v>
      </c>
      <c r="BK3329">
        <v>1.5</v>
      </c>
      <c r="BL3329">
        <v>137.47</v>
      </c>
      <c r="BM3329">
        <v>20.62</v>
      </c>
      <c r="BN3329">
        <v>158.09</v>
      </c>
      <c r="BO3329">
        <v>158.09</v>
      </c>
      <c r="BQ3329" t="s">
        <v>486</v>
      </c>
      <c r="BR3329" t="s">
        <v>97</v>
      </c>
      <c r="BS3329" s="3">
        <v>45959</v>
      </c>
      <c r="BT3329" s="4">
        <v>0.53680555555555554</v>
      </c>
      <c r="BU3329" t="s">
        <v>485</v>
      </c>
      <c r="BV3329" t="s">
        <v>86</v>
      </c>
      <c r="BY3329">
        <v>5510</v>
      </c>
      <c r="CA3329" t="s">
        <v>326</v>
      </c>
      <c r="CC3329" t="s">
        <v>322</v>
      </c>
      <c r="CD3329">
        <v>7646</v>
      </c>
      <c r="CE3329" t="s">
        <v>191</v>
      </c>
      <c r="CI3329">
        <v>1</v>
      </c>
      <c r="CJ3329">
        <v>1</v>
      </c>
      <c r="CK3329">
        <v>23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"080068789788"</f>
        <v>080068789788</v>
      </c>
      <c r="F3330" s="3">
        <v>45958</v>
      </c>
      <c r="G3330">
        <v>202607</v>
      </c>
      <c r="H3330" t="s">
        <v>79</v>
      </c>
      <c r="I3330" t="s">
        <v>80</v>
      </c>
      <c r="J3330" t="s">
        <v>91</v>
      </c>
      <c r="K3330" t="s">
        <v>78</v>
      </c>
      <c r="L3330" t="s">
        <v>79</v>
      </c>
      <c r="M3330" t="s">
        <v>80</v>
      </c>
      <c r="N3330" t="s">
        <v>3063</v>
      </c>
      <c r="O3330" t="s">
        <v>82</v>
      </c>
      <c r="P3330" t="str">
        <f>"4170066347                    "</f>
        <v xml:space="preserve">4170066347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17.46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2</v>
      </c>
      <c r="BJ3330">
        <v>3.8</v>
      </c>
      <c r="BK3330">
        <v>4</v>
      </c>
      <c r="BL3330">
        <v>55.42</v>
      </c>
      <c r="BM3330">
        <v>8.31</v>
      </c>
      <c r="BN3330">
        <v>63.73</v>
      </c>
      <c r="BO3330">
        <v>63.73</v>
      </c>
      <c r="BQ3330" t="s">
        <v>3064</v>
      </c>
      <c r="BR3330" t="s">
        <v>97</v>
      </c>
      <c r="BS3330" s="3">
        <v>45959</v>
      </c>
      <c r="BT3330" s="4">
        <v>0.41666666666666669</v>
      </c>
      <c r="BU3330" t="s">
        <v>2651</v>
      </c>
      <c r="BV3330" t="s">
        <v>86</v>
      </c>
      <c r="BY3330">
        <v>19040</v>
      </c>
      <c r="CA3330" t="s">
        <v>419</v>
      </c>
      <c r="CC3330" t="s">
        <v>80</v>
      </c>
      <c r="CD3330">
        <v>1665</v>
      </c>
      <c r="CE3330" t="s">
        <v>107</v>
      </c>
      <c r="CF3330" s="3">
        <v>45959</v>
      </c>
      <c r="CI3330">
        <v>1</v>
      </c>
      <c r="CJ3330">
        <v>1</v>
      </c>
      <c r="CK3330">
        <v>22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"080068790795"</f>
        <v>080068790795</v>
      </c>
      <c r="F3331" s="3">
        <v>45958</v>
      </c>
      <c r="G3331">
        <v>202607</v>
      </c>
      <c r="H3331" t="s">
        <v>79</v>
      </c>
      <c r="I3331" t="s">
        <v>80</v>
      </c>
      <c r="J3331" t="s">
        <v>91</v>
      </c>
      <c r="K3331" t="s">
        <v>78</v>
      </c>
      <c r="L3331" t="s">
        <v>108</v>
      </c>
      <c r="M3331" t="s">
        <v>109</v>
      </c>
      <c r="N3331" t="s">
        <v>548</v>
      </c>
      <c r="O3331" t="s">
        <v>82</v>
      </c>
      <c r="P3331" t="str">
        <f>"4170059647                    "</f>
        <v xml:space="preserve">4170059647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100.54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9</v>
      </c>
      <c r="BJ3331">
        <v>1.9</v>
      </c>
      <c r="BK3331">
        <v>9</v>
      </c>
      <c r="BL3331">
        <v>319.10000000000002</v>
      </c>
      <c r="BM3331">
        <v>47.87</v>
      </c>
      <c r="BN3331">
        <v>366.97</v>
      </c>
      <c r="BO3331">
        <v>366.97</v>
      </c>
      <c r="BQ3331" t="s">
        <v>549</v>
      </c>
      <c r="BR3331" t="s">
        <v>97</v>
      </c>
      <c r="BS3331" s="3">
        <v>45959</v>
      </c>
      <c r="BT3331" s="4">
        <v>0.3611111111111111</v>
      </c>
      <c r="BU3331" t="s">
        <v>1710</v>
      </c>
      <c r="BV3331" t="s">
        <v>86</v>
      </c>
      <c r="BY3331">
        <v>9600</v>
      </c>
      <c r="CA3331" t="s">
        <v>1090</v>
      </c>
      <c r="CC3331" t="s">
        <v>109</v>
      </c>
      <c r="CD3331">
        <v>6001</v>
      </c>
      <c r="CE3331" t="s">
        <v>191</v>
      </c>
      <c r="CF3331" s="3">
        <v>45959</v>
      </c>
      <c r="CI3331">
        <v>1</v>
      </c>
      <c r="CJ3331">
        <v>1</v>
      </c>
      <c r="CK3331">
        <v>21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"080068790837"</f>
        <v>080068790837</v>
      </c>
      <c r="F3332" s="3">
        <v>45958</v>
      </c>
      <c r="G3332">
        <v>202607</v>
      </c>
      <c r="H3332" t="s">
        <v>79</v>
      </c>
      <c r="I3332" t="s">
        <v>80</v>
      </c>
      <c r="J3332" t="s">
        <v>91</v>
      </c>
      <c r="K3332" t="s">
        <v>78</v>
      </c>
      <c r="L3332" t="s">
        <v>79</v>
      </c>
      <c r="M3332" t="s">
        <v>80</v>
      </c>
      <c r="N3332" t="s">
        <v>357</v>
      </c>
      <c r="O3332" t="s">
        <v>82</v>
      </c>
      <c r="P3332" t="str">
        <f>"4170066418                    "</f>
        <v xml:space="preserve">4170066418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17.46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55.42</v>
      </c>
      <c r="BM3332">
        <v>8.31</v>
      </c>
      <c r="BN3332">
        <v>63.73</v>
      </c>
      <c r="BO3332">
        <v>63.73</v>
      </c>
      <c r="BQ3332" t="s">
        <v>358</v>
      </c>
      <c r="BR3332" t="s">
        <v>97</v>
      </c>
      <c r="BS3332" s="3">
        <v>45959</v>
      </c>
      <c r="BT3332" s="4">
        <v>0.37638888888888888</v>
      </c>
      <c r="BU3332" t="s">
        <v>3555</v>
      </c>
      <c r="BV3332" t="s">
        <v>86</v>
      </c>
      <c r="BY3332">
        <v>1200</v>
      </c>
      <c r="CA3332" t="s">
        <v>360</v>
      </c>
      <c r="CC3332" t="s">
        <v>80</v>
      </c>
      <c r="CD3332">
        <v>1645</v>
      </c>
      <c r="CE3332" t="s">
        <v>147</v>
      </c>
      <c r="CF3332" s="3">
        <v>45960</v>
      </c>
      <c r="CI3332">
        <v>1</v>
      </c>
      <c r="CJ3332">
        <v>1</v>
      </c>
      <c r="CK3332">
        <v>22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"080068790861"</f>
        <v>080068790861</v>
      </c>
      <c r="F3333" s="3">
        <v>45958</v>
      </c>
      <c r="G3333">
        <v>202607</v>
      </c>
      <c r="H3333" t="s">
        <v>79</v>
      </c>
      <c r="I3333" t="s">
        <v>80</v>
      </c>
      <c r="J3333" t="s">
        <v>91</v>
      </c>
      <c r="K3333" t="s">
        <v>78</v>
      </c>
      <c r="L3333" t="s">
        <v>108</v>
      </c>
      <c r="M3333" t="s">
        <v>109</v>
      </c>
      <c r="N3333" t="s">
        <v>315</v>
      </c>
      <c r="O3333" t="s">
        <v>82</v>
      </c>
      <c r="P3333" t="str">
        <f>"4170066456                    "</f>
        <v xml:space="preserve">4170066456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22.36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1.8</v>
      </c>
      <c r="BK3333">
        <v>2</v>
      </c>
      <c r="BL3333">
        <v>70.959999999999994</v>
      </c>
      <c r="BM3333">
        <v>10.64</v>
      </c>
      <c r="BN3333">
        <v>81.599999999999994</v>
      </c>
      <c r="BO3333">
        <v>81.599999999999994</v>
      </c>
      <c r="BQ3333" t="s">
        <v>316</v>
      </c>
      <c r="BR3333" t="s">
        <v>97</v>
      </c>
      <c r="BS3333" s="3">
        <v>45959</v>
      </c>
      <c r="BT3333" s="4">
        <v>0.32916666666666666</v>
      </c>
      <c r="BU3333" t="s">
        <v>3523</v>
      </c>
      <c r="BV3333" t="s">
        <v>86</v>
      </c>
      <c r="BY3333">
        <v>8816</v>
      </c>
      <c r="CA3333" t="s">
        <v>113</v>
      </c>
      <c r="CC3333" t="s">
        <v>109</v>
      </c>
      <c r="CD3333">
        <v>6045</v>
      </c>
      <c r="CE3333" t="s">
        <v>191</v>
      </c>
      <c r="CF3333" s="3">
        <v>45959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"080068790885"</f>
        <v>080068790885</v>
      </c>
      <c r="F3334" s="3">
        <v>45958</v>
      </c>
      <c r="G3334">
        <v>202607</v>
      </c>
      <c r="H3334" t="s">
        <v>79</v>
      </c>
      <c r="I3334" t="s">
        <v>80</v>
      </c>
      <c r="J3334" t="s">
        <v>91</v>
      </c>
      <c r="K3334" t="s">
        <v>78</v>
      </c>
      <c r="L3334" t="s">
        <v>148</v>
      </c>
      <c r="M3334" t="s">
        <v>149</v>
      </c>
      <c r="N3334" t="s">
        <v>150</v>
      </c>
      <c r="O3334" t="s">
        <v>95</v>
      </c>
      <c r="P3334" t="str">
        <f>"4170066367                    "</f>
        <v xml:space="preserve">4170066367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36.28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6</v>
      </c>
      <c r="BJ3334">
        <v>17.7</v>
      </c>
      <c r="BK3334">
        <v>18</v>
      </c>
      <c r="BL3334">
        <v>121.03</v>
      </c>
      <c r="BM3334">
        <v>18.149999999999999</v>
      </c>
      <c r="BN3334">
        <v>139.18</v>
      </c>
      <c r="BO3334">
        <v>139.18</v>
      </c>
      <c r="BQ3334" t="s">
        <v>151</v>
      </c>
      <c r="BR3334" t="s">
        <v>97</v>
      </c>
      <c r="BS3334" s="3">
        <v>45959</v>
      </c>
      <c r="BT3334" s="4">
        <v>0.33402777777777776</v>
      </c>
      <c r="BU3334" t="s">
        <v>3509</v>
      </c>
      <c r="BV3334" t="s">
        <v>86</v>
      </c>
      <c r="BY3334">
        <v>88320</v>
      </c>
      <c r="CA3334" t="s">
        <v>1321</v>
      </c>
      <c r="CC3334" t="s">
        <v>149</v>
      </c>
      <c r="CD3334">
        <v>2013</v>
      </c>
      <c r="CE3334" t="s">
        <v>191</v>
      </c>
      <c r="CF3334" s="3">
        <v>45959</v>
      </c>
      <c r="CI3334">
        <v>1</v>
      </c>
      <c r="CJ3334">
        <v>1</v>
      </c>
      <c r="CK3334">
        <v>42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"080068791446"</f>
        <v>080068791446</v>
      </c>
      <c r="F3335" s="3">
        <v>45958</v>
      </c>
      <c r="G3335">
        <v>202607</v>
      </c>
      <c r="H3335" t="s">
        <v>79</v>
      </c>
      <c r="I3335" t="s">
        <v>80</v>
      </c>
      <c r="J3335" t="s">
        <v>91</v>
      </c>
      <c r="K3335" t="s">
        <v>78</v>
      </c>
      <c r="L3335" t="s">
        <v>206</v>
      </c>
      <c r="M3335" t="s">
        <v>207</v>
      </c>
      <c r="N3335" t="s">
        <v>3457</v>
      </c>
      <c r="O3335" t="s">
        <v>82</v>
      </c>
      <c r="P3335" t="str">
        <f>"4170066405                    "</f>
        <v xml:space="preserve">4170066405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22.36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1.1000000000000001</v>
      </c>
      <c r="BK3335">
        <v>2</v>
      </c>
      <c r="BL3335">
        <v>70.959999999999994</v>
      </c>
      <c r="BM3335">
        <v>10.64</v>
      </c>
      <c r="BN3335">
        <v>81.599999999999994</v>
      </c>
      <c r="BO3335">
        <v>81.599999999999994</v>
      </c>
      <c r="BQ3335" t="s">
        <v>3458</v>
      </c>
      <c r="BR3335" t="s">
        <v>97</v>
      </c>
      <c r="BS3335" s="3">
        <v>45959</v>
      </c>
      <c r="BT3335" s="4">
        <v>0.42291666666666666</v>
      </c>
      <c r="BU3335" t="s">
        <v>658</v>
      </c>
      <c r="BV3335" t="s">
        <v>86</v>
      </c>
      <c r="BY3335">
        <v>5320</v>
      </c>
      <c r="CA3335" t="s">
        <v>211</v>
      </c>
      <c r="CC3335" t="s">
        <v>207</v>
      </c>
      <c r="CD3335">
        <v>7441</v>
      </c>
      <c r="CE3335" t="s">
        <v>191</v>
      </c>
      <c r="CF3335" s="3">
        <v>45960</v>
      </c>
      <c r="CI3335">
        <v>1</v>
      </c>
      <c r="CJ3335">
        <v>1</v>
      </c>
      <c r="CK3335">
        <v>21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"080068791500"</f>
        <v>080068791500</v>
      </c>
      <c r="F3336" s="3">
        <v>45958</v>
      </c>
      <c r="G3336">
        <v>202607</v>
      </c>
      <c r="H3336" t="s">
        <v>79</v>
      </c>
      <c r="I3336" t="s">
        <v>80</v>
      </c>
      <c r="J3336" t="s">
        <v>91</v>
      </c>
      <c r="K3336" t="s">
        <v>78</v>
      </c>
      <c r="L3336" t="s">
        <v>206</v>
      </c>
      <c r="M3336" t="s">
        <v>207</v>
      </c>
      <c r="N3336" t="s">
        <v>208</v>
      </c>
      <c r="O3336" t="s">
        <v>82</v>
      </c>
      <c r="P3336" t="str">
        <f>"4170066479                    "</f>
        <v xml:space="preserve">4170066479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22.36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70.959999999999994</v>
      </c>
      <c r="BM3336">
        <v>10.64</v>
      </c>
      <c r="BN3336">
        <v>81.599999999999994</v>
      </c>
      <c r="BO3336">
        <v>81.599999999999994</v>
      </c>
      <c r="BQ3336" t="s">
        <v>209</v>
      </c>
      <c r="BR3336" t="s">
        <v>97</v>
      </c>
      <c r="BS3336" s="3">
        <v>45959</v>
      </c>
      <c r="BT3336" s="4">
        <v>0.38263888888888886</v>
      </c>
      <c r="BU3336" t="s">
        <v>1732</v>
      </c>
      <c r="BV3336" t="s">
        <v>86</v>
      </c>
      <c r="BY3336">
        <v>1200</v>
      </c>
      <c r="CA3336" t="s">
        <v>211</v>
      </c>
      <c r="CC3336" t="s">
        <v>207</v>
      </c>
      <c r="CD3336">
        <v>7441</v>
      </c>
      <c r="CE3336" t="s">
        <v>147</v>
      </c>
      <c r="CF3336" s="3">
        <v>45960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"080068791531"</f>
        <v>080068791531</v>
      </c>
      <c r="F3337" s="3">
        <v>45958</v>
      </c>
      <c r="G3337">
        <v>202607</v>
      </c>
      <c r="H3337" t="s">
        <v>79</v>
      </c>
      <c r="I3337" t="s">
        <v>80</v>
      </c>
      <c r="J3337" t="s">
        <v>91</v>
      </c>
      <c r="K3337" t="s">
        <v>78</v>
      </c>
      <c r="L3337" t="s">
        <v>108</v>
      </c>
      <c r="M3337" t="s">
        <v>109</v>
      </c>
      <c r="N3337" t="s">
        <v>365</v>
      </c>
      <c r="O3337" t="s">
        <v>82</v>
      </c>
      <c r="P3337" t="str">
        <f>"4170066455                    "</f>
        <v xml:space="preserve">4170066455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33.520000000000003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2</v>
      </c>
      <c r="BI3337">
        <v>3</v>
      </c>
      <c r="BJ3337">
        <v>1.4</v>
      </c>
      <c r="BK3337">
        <v>3</v>
      </c>
      <c r="BL3337">
        <v>106.4</v>
      </c>
      <c r="BM3337">
        <v>15.96</v>
      </c>
      <c r="BN3337">
        <v>122.36</v>
      </c>
      <c r="BO3337">
        <v>122.36</v>
      </c>
      <c r="BQ3337" t="s">
        <v>366</v>
      </c>
      <c r="BR3337" t="s">
        <v>97</v>
      </c>
      <c r="BS3337" s="3">
        <v>45959</v>
      </c>
      <c r="BT3337" s="4">
        <v>0.43472222222222223</v>
      </c>
      <c r="BU3337" t="s">
        <v>2886</v>
      </c>
      <c r="BV3337" t="s">
        <v>86</v>
      </c>
      <c r="BY3337">
        <v>7248</v>
      </c>
      <c r="CA3337" t="s">
        <v>1145</v>
      </c>
      <c r="CC3337" t="s">
        <v>109</v>
      </c>
      <c r="CD3337">
        <v>6056</v>
      </c>
      <c r="CE3337" t="s">
        <v>147</v>
      </c>
      <c r="CF3337" s="3">
        <v>45959</v>
      </c>
      <c r="CI3337">
        <v>1</v>
      </c>
      <c r="CJ3337">
        <v>1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"080068791541"</f>
        <v>080068791541</v>
      </c>
      <c r="F3338" s="3">
        <v>45958</v>
      </c>
      <c r="G3338">
        <v>202607</v>
      </c>
      <c r="H3338" t="s">
        <v>79</v>
      </c>
      <c r="I3338" t="s">
        <v>80</v>
      </c>
      <c r="J3338" t="s">
        <v>91</v>
      </c>
      <c r="K3338" t="s">
        <v>78</v>
      </c>
      <c r="L3338" t="s">
        <v>1095</v>
      </c>
      <c r="M3338" t="s">
        <v>1096</v>
      </c>
      <c r="N3338" t="s">
        <v>1097</v>
      </c>
      <c r="O3338" t="s">
        <v>82</v>
      </c>
      <c r="P3338" t="str">
        <f>"4170066474                    "</f>
        <v xml:space="preserve">4170066474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43.31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137.47</v>
      </c>
      <c r="BM3338">
        <v>20.62</v>
      </c>
      <c r="BN3338">
        <v>158.09</v>
      </c>
      <c r="BO3338">
        <v>158.09</v>
      </c>
      <c r="BQ3338" t="s">
        <v>1098</v>
      </c>
      <c r="BR3338" t="s">
        <v>97</v>
      </c>
      <c r="BS3338" s="3">
        <v>45959</v>
      </c>
      <c r="BT3338" s="4">
        <v>0.42916666666666664</v>
      </c>
      <c r="BU3338" t="s">
        <v>293</v>
      </c>
      <c r="BV3338" t="s">
        <v>86</v>
      </c>
      <c r="BY3338">
        <v>1200</v>
      </c>
      <c r="CA3338" t="s">
        <v>1099</v>
      </c>
      <c r="CC3338" t="s">
        <v>1096</v>
      </c>
      <c r="CD3338">
        <v>2302</v>
      </c>
      <c r="CE3338" t="s">
        <v>147</v>
      </c>
      <c r="CF3338" s="3">
        <v>45960</v>
      </c>
      <c r="CI3338">
        <v>1</v>
      </c>
      <c r="CJ3338">
        <v>1</v>
      </c>
      <c r="CK3338">
        <v>23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"080068791579"</f>
        <v>080068791579</v>
      </c>
      <c r="F3339" s="3">
        <v>45958</v>
      </c>
      <c r="G3339">
        <v>202607</v>
      </c>
      <c r="H3339" t="s">
        <v>79</v>
      </c>
      <c r="I3339" t="s">
        <v>80</v>
      </c>
      <c r="J3339" t="s">
        <v>91</v>
      </c>
      <c r="K3339" t="s">
        <v>78</v>
      </c>
      <c r="L3339" t="s">
        <v>1095</v>
      </c>
      <c r="M3339" t="s">
        <v>1096</v>
      </c>
      <c r="N3339" t="s">
        <v>1097</v>
      </c>
      <c r="O3339" t="s">
        <v>82</v>
      </c>
      <c r="P3339" t="str">
        <f>"4170066473                    "</f>
        <v xml:space="preserve">4170066473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43.31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137.47</v>
      </c>
      <c r="BM3339">
        <v>20.62</v>
      </c>
      <c r="BN3339">
        <v>158.09</v>
      </c>
      <c r="BO3339">
        <v>158.09</v>
      </c>
      <c r="BQ3339" t="s">
        <v>1098</v>
      </c>
      <c r="BR3339" t="s">
        <v>97</v>
      </c>
      <c r="BS3339" s="3">
        <v>45959</v>
      </c>
      <c r="BT3339" s="4">
        <v>0.43333333333333335</v>
      </c>
      <c r="BU3339" t="s">
        <v>293</v>
      </c>
      <c r="BV3339" t="s">
        <v>86</v>
      </c>
      <c r="BY3339">
        <v>1200</v>
      </c>
      <c r="CA3339" t="s">
        <v>1099</v>
      </c>
      <c r="CC3339" t="s">
        <v>1096</v>
      </c>
      <c r="CD3339">
        <v>2302</v>
      </c>
      <c r="CE3339" t="s">
        <v>147</v>
      </c>
      <c r="CF3339" s="3">
        <v>45960</v>
      </c>
      <c r="CI3339">
        <v>1</v>
      </c>
      <c r="CJ3339">
        <v>1</v>
      </c>
      <c r="CK3339">
        <v>23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"080068791600"</f>
        <v>080068791600</v>
      </c>
      <c r="F3340" s="3">
        <v>45958</v>
      </c>
      <c r="G3340">
        <v>202607</v>
      </c>
      <c r="H3340" t="s">
        <v>79</v>
      </c>
      <c r="I3340" t="s">
        <v>80</v>
      </c>
      <c r="J3340" t="s">
        <v>91</v>
      </c>
      <c r="K3340" t="s">
        <v>78</v>
      </c>
      <c r="L3340" t="s">
        <v>1095</v>
      </c>
      <c r="M3340" t="s">
        <v>1096</v>
      </c>
      <c r="N3340" t="s">
        <v>1097</v>
      </c>
      <c r="O3340" t="s">
        <v>82</v>
      </c>
      <c r="P3340" t="str">
        <f>"4170066470                    "</f>
        <v xml:space="preserve">4170066470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43.31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137.47</v>
      </c>
      <c r="BM3340">
        <v>20.62</v>
      </c>
      <c r="BN3340">
        <v>158.09</v>
      </c>
      <c r="BO3340">
        <v>158.09</v>
      </c>
      <c r="BQ3340" t="s">
        <v>1098</v>
      </c>
      <c r="BR3340" t="s">
        <v>97</v>
      </c>
      <c r="BS3340" s="3">
        <v>45959</v>
      </c>
      <c r="BT3340" s="4">
        <v>0.42708333333333331</v>
      </c>
      <c r="BU3340" t="s">
        <v>293</v>
      </c>
      <c r="BV3340" t="s">
        <v>86</v>
      </c>
      <c r="BY3340">
        <v>1200</v>
      </c>
      <c r="CA3340" t="s">
        <v>1099</v>
      </c>
      <c r="CC3340" t="s">
        <v>1096</v>
      </c>
      <c r="CD3340">
        <v>2302</v>
      </c>
      <c r="CE3340" t="s">
        <v>147</v>
      </c>
      <c r="CF3340" s="3">
        <v>45960</v>
      </c>
      <c r="CI3340">
        <v>1</v>
      </c>
      <c r="CJ3340">
        <v>1</v>
      </c>
      <c r="CK3340">
        <v>23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"080068792621"</f>
        <v>080068792621</v>
      </c>
      <c r="F3341" s="3">
        <v>45958</v>
      </c>
      <c r="G3341">
        <v>202607</v>
      </c>
      <c r="H3341" t="s">
        <v>79</v>
      </c>
      <c r="I3341" t="s">
        <v>80</v>
      </c>
      <c r="J3341" t="s">
        <v>91</v>
      </c>
      <c r="K3341" t="s">
        <v>78</v>
      </c>
      <c r="L3341" t="s">
        <v>121</v>
      </c>
      <c r="M3341" t="s">
        <v>122</v>
      </c>
      <c r="N3341" t="s">
        <v>123</v>
      </c>
      <c r="O3341" t="s">
        <v>82</v>
      </c>
      <c r="P3341" t="str">
        <f>"4170066465                    "</f>
        <v xml:space="preserve">4170066465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22.36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70.959999999999994</v>
      </c>
      <c r="BM3341">
        <v>10.64</v>
      </c>
      <c r="BN3341">
        <v>81.599999999999994</v>
      </c>
      <c r="BO3341">
        <v>81.599999999999994</v>
      </c>
      <c r="BQ3341" t="s">
        <v>124</v>
      </c>
      <c r="BR3341" t="s">
        <v>97</v>
      </c>
      <c r="BS3341" s="3">
        <v>45959</v>
      </c>
      <c r="BT3341" s="4">
        <v>0.34305555555555556</v>
      </c>
      <c r="BU3341" t="s">
        <v>3178</v>
      </c>
      <c r="BV3341" t="s">
        <v>86</v>
      </c>
      <c r="BY3341">
        <v>1200</v>
      </c>
      <c r="CA3341" t="s">
        <v>126</v>
      </c>
      <c r="CC3341" t="s">
        <v>122</v>
      </c>
      <c r="CD3341">
        <v>4051</v>
      </c>
      <c r="CE3341" t="s">
        <v>147</v>
      </c>
      <c r="CF3341" s="3">
        <v>45959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"080068792654"</f>
        <v>080068792654</v>
      </c>
      <c r="F3342" s="3">
        <v>45958</v>
      </c>
      <c r="G3342">
        <v>202607</v>
      </c>
      <c r="H3342" t="s">
        <v>79</v>
      </c>
      <c r="I3342" t="s">
        <v>80</v>
      </c>
      <c r="J3342" t="s">
        <v>91</v>
      </c>
      <c r="K3342" t="s">
        <v>78</v>
      </c>
      <c r="L3342" t="s">
        <v>92</v>
      </c>
      <c r="M3342" t="s">
        <v>93</v>
      </c>
      <c r="N3342" t="s">
        <v>143</v>
      </c>
      <c r="O3342" t="s">
        <v>82</v>
      </c>
      <c r="P3342" t="str">
        <f>"4170066466                    "</f>
        <v xml:space="preserve">4170066466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22.36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70.959999999999994</v>
      </c>
      <c r="BM3342">
        <v>10.64</v>
      </c>
      <c r="BN3342">
        <v>81.599999999999994</v>
      </c>
      <c r="BO3342">
        <v>81.599999999999994</v>
      </c>
      <c r="BQ3342" t="s">
        <v>144</v>
      </c>
      <c r="BR3342" t="s">
        <v>97</v>
      </c>
      <c r="BS3342" s="3">
        <v>45959</v>
      </c>
      <c r="BT3342" s="4">
        <v>0.40138888888888891</v>
      </c>
      <c r="BU3342" t="s">
        <v>1903</v>
      </c>
      <c r="BV3342" t="s">
        <v>86</v>
      </c>
      <c r="BY3342">
        <v>1200</v>
      </c>
      <c r="CA3342" t="s">
        <v>100</v>
      </c>
      <c r="CC3342" t="s">
        <v>93</v>
      </c>
      <c r="CD3342">
        <v>3200</v>
      </c>
      <c r="CE3342" t="s">
        <v>147</v>
      </c>
      <c r="CF3342" s="3">
        <v>45960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"080068792701"</f>
        <v>080068792701</v>
      </c>
      <c r="F3343" s="3">
        <v>45958</v>
      </c>
      <c r="G3343">
        <v>202607</v>
      </c>
      <c r="H3343" t="s">
        <v>79</v>
      </c>
      <c r="I3343" t="s">
        <v>80</v>
      </c>
      <c r="J3343" t="s">
        <v>91</v>
      </c>
      <c r="K3343" t="s">
        <v>78</v>
      </c>
      <c r="L3343" t="s">
        <v>1765</v>
      </c>
      <c r="M3343" t="s">
        <v>1766</v>
      </c>
      <c r="N3343" t="s">
        <v>1767</v>
      </c>
      <c r="O3343" t="s">
        <v>82</v>
      </c>
      <c r="P3343" t="str">
        <f>"4170066460                    "</f>
        <v xml:space="preserve">4170066460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43.31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137.47</v>
      </c>
      <c r="BM3343">
        <v>20.62</v>
      </c>
      <c r="BN3343">
        <v>158.09</v>
      </c>
      <c r="BO3343">
        <v>158.09</v>
      </c>
      <c r="BQ3343" t="s">
        <v>1768</v>
      </c>
      <c r="BR3343" t="s">
        <v>97</v>
      </c>
      <c r="BS3343" s="3">
        <v>45959</v>
      </c>
      <c r="BT3343" s="4">
        <v>0.44583333333333336</v>
      </c>
      <c r="BU3343" t="s">
        <v>1769</v>
      </c>
      <c r="BV3343" t="s">
        <v>90</v>
      </c>
      <c r="BY3343">
        <v>1200</v>
      </c>
      <c r="CA3343" t="s">
        <v>1770</v>
      </c>
      <c r="CC3343" t="s">
        <v>1766</v>
      </c>
      <c r="CD3343">
        <v>1035</v>
      </c>
      <c r="CE3343" t="s">
        <v>147</v>
      </c>
      <c r="CF3343" s="3">
        <v>45960</v>
      </c>
      <c r="CI3343">
        <v>1</v>
      </c>
      <c r="CJ3343">
        <v>1</v>
      </c>
      <c r="CK3343">
        <v>23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"080068792734"</f>
        <v>080068792734</v>
      </c>
      <c r="F3344" s="3">
        <v>45958</v>
      </c>
      <c r="G3344">
        <v>202607</v>
      </c>
      <c r="H3344" t="s">
        <v>79</v>
      </c>
      <c r="I3344" t="s">
        <v>80</v>
      </c>
      <c r="J3344" t="s">
        <v>91</v>
      </c>
      <c r="K3344" t="s">
        <v>78</v>
      </c>
      <c r="L3344" t="s">
        <v>121</v>
      </c>
      <c r="M3344" t="s">
        <v>122</v>
      </c>
      <c r="N3344" t="s">
        <v>3545</v>
      </c>
      <c r="O3344" t="s">
        <v>82</v>
      </c>
      <c r="P3344" t="str">
        <f>"4170066484                    "</f>
        <v xml:space="preserve">4170066484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22.36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1.1000000000000001</v>
      </c>
      <c r="BK3344">
        <v>1.5</v>
      </c>
      <c r="BL3344">
        <v>70.959999999999994</v>
      </c>
      <c r="BM3344">
        <v>10.64</v>
      </c>
      <c r="BN3344">
        <v>81.599999999999994</v>
      </c>
      <c r="BO3344">
        <v>81.599999999999994</v>
      </c>
      <c r="BQ3344" t="s">
        <v>3546</v>
      </c>
      <c r="BR3344" t="s">
        <v>97</v>
      </c>
      <c r="BS3344" s="3">
        <v>45959</v>
      </c>
      <c r="BT3344" s="4">
        <v>0.36666666666666664</v>
      </c>
      <c r="BU3344" t="s">
        <v>3547</v>
      </c>
      <c r="BV3344" t="s">
        <v>86</v>
      </c>
      <c r="BY3344">
        <v>5320</v>
      </c>
      <c r="CA3344" t="s">
        <v>331</v>
      </c>
      <c r="CC3344" t="s">
        <v>122</v>
      </c>
      <c r="CD3344">
        <v>4060</v>
      </c>
      <c r="CE3344" t="s">
        <v>191</v>
      </c>
      <c r="CF3344" s="3">
        <v>45960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"080068792769"</f>
        <v>080068792769</v>
      </c>
      <c r="F3345" s="3">
        <v>45958</v>
      </c>
      <c r="G3345">
        <v>202607</v>
      </c>
      <c r="H3345" t="s">
        <v>79</v>
      </c>
      <c r="I3345" t="s">
        <v>80</v>
      </c>
      <c r="J3345" t="s">
        <v>91</v>
      </c>
      <c r="K3345" t="s">
        <v>78</v>
      </c>
      <c r="L3345" t="s">
        <v>2063</v>
      </c>
      <c r="M3345" t="s">
        <v>2064</v>
      </c>
      <c r="N3345" t="s">
        <v>2925</v>
      </c>
      <c r="O3345" t="s">
        <v>95</v>
      </c>
      <c r="P3345" t="str">
        <f>"4170065248                    "</f>
        <v xml:space="preserve">4170065248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53.98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20</v>
      </c>
      <c r="BJ3345">
        <v>10</v>
      </c>
      <c r="BK3345">
        <v>20</v>
      </c>
      <c r="BL3345">
        <v>177.19</v>
      </c>
      <c r="BM3345">
        <v>26.58</v>
      </c>
      <c r="BN3345">
        <v>203.77</v>
      </c>
      <c r="BO3345">
        <v>203.77</v>
      </c>
      <c r="BQ3345" t="s">
        <v>2926</v>
      </c>
      <c r="BR3345" t="s">
        <v>97</v>
      </c>
      <c r="BS3345" t="s">
        <v>2659</v>
      </c>
      <c r="BY3345">
        <v>49875</v>
      </c>
      <c r="CC3345" t="s">
        <v>2064</v>
      </c>
      <c r="CD3345">
        <v>1779</v>
      </c>
      <c r="CE3345" t="s">
        <v>191</v>
      </c>
      <c r="CI3345">
        <v>1</v>
      </c>
      <c r="CJ3345" t="s">
        <v>2659</v>
      </c>
      <c r="CK3345">
        <v>44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"080068792811"</f>
        <v>080068792811</v>
      </c>
      <c r="F3346" s="3">
        <v>45958</v>
      </c>
      <c r="G3346">
        <v>202607</v>
      </c>
      <c r="H3346" t="s">
        <v>79</v>
      </c>
      <c r="I3346" t="s">
        <v>80</v>
      </c>
      <c r="J3346" t="s">
        <v>91</v>
      </c>
      <c r="K3346" t="s">
        <v>78</v>
      </c>
      <c r="L3346" t="s">
        <v>206</v>
      </c>
      <c r="M3346" t="s">
        <v>207</v>
      </c>
      <c r="N3346" t="s">
        <v>1972</v>
      </c>
      <c r="O3346" t="s">
        <v>82</v>
      </c>
      <c r="P3346" t="str">
        <f>"4170066477                    "</f>
        <v xml:space="preserve">4170066477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22.36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1.9</v>
      </c>
      <c r="BK3346">
        <v>2</v>
      </c>
      <c r="BL3346">
        <v>70.959999999999994</v>
      </c>
      <c r="BM3346">
        <v>10.64</v>
      </c>
      <c r="BN3346">
        <v>81.599999999999994</v>
      </c>
      <c r="BO3346">
        <v>81.599999999999994</v>
      </c>
      <c r="BQ3346" t="s">
        <v>1973</v>
      </c>
      <c r="BR3346" t="s">
        <v>97</v>
      </c>
      <c r="BS3346" s="3">
        <v>45959</v>
      </c>
      <c r="BT3346" s="4">
        <v>0.51666666666666672</v>
      </c>
      <c r="BU3346" t="s">
        <v>1269</v>
      </c>
      <c r="BV3346" t="s">
        <v>86</v>
      </c>
      <c r="BY3346">
        <v>9600</v>
      </c>
      <c r="CA3346" t="s">
        <v>1974</v>
      </c>
      <c r="CC3346" t="s">
        <v>207</v>
      </c>
      <c r="CD3346">
        <v>7975</v>
      </c>
      <c r="CE3346" t="s">
        <v>191</v>
      </c>
      <c r="CF3346" s="3">
        <v>45960</v>
      </c>
      <c r="CI3346">
        <v>1</v>
      </c>
      <c r="CJ3346">
        <v>1</v>
      </c>
      <c r="CK3346">
        <v>21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"080068792880"</f>
        <v>080068792880</v>
      </c>
      <c r="F3347" s="3">
        <v>45958</v>
      </c>
      <c r="G3347">
        <v>202607</v>
      </c>
      <c r="H3347" t="s">
        <v>79</v>
      </c>
      <c r="I3347" t="s">
        <v>80</v>
      </c>
      <c r="J3347" t="s">
        <v>91</v>
      </c>
      <c r="K3347" t="s">
        <v>78</v>
      </c>
      <c r="L3347" t="s">
        <v>168</v>
      </c>
      <c r="M3347" t="s">
        <v>169</v>
      </c>
      <c r="N3347" t="s">
        <v>923</v>
      </c>
      <c r="O3347" t="s">
        <v>95</v>
      </c>
      <c r="P3347" t="str">
        <f>"4170066447                    "</f>
        <v xml:space="preserve">4170066447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45.02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15.5</v>
      </c>
      <c r="BJ3347">
        <v>9.3000000000000007</v>
      </c>
      <c r="BK3347">
        <v>16</v>
      </c>
      <c r="BL3347">
        <v>148.75</v>
      </c>
      <c r="BM3347">
        <v>22.31</v>
      </c>
      <c r="BN3347">
        <v>171.06</v>
      </c>
      <c r="BO3347">
        <v>171.06</v>
      </c>
      <c r="BQ3347" t="s">
        <v>924</v>
      </c>
      <c r="BR3347" t="s">
        <v>97</v>
      </c>
      <c r="BS3347" s="3">
        <v>45959</v>
      </c>
      <c r="BT3347" s="4">
        <v>0.3347222222222222</v>
      </c>
      <c r="BU3347" t="s">
        <v>1121</v>
      </c>
      <c r="BV3347" t="s">
        <v>86</v>
      </c>
      <c r="BY3347">
        <v>46344.32</v>
      </c>
      <c r="CA3347">
        <v>9107126013089</v>
      </c>
      <c r="CC3347" t="s">
        <v>169</v>
      </c>
      <c r="CD3347" s="5" t="s">
        <v>926</v>
      </c>
      <c r="CE3347" t="s">
        <v>191</v>
      </c>
      <c r="CF3347" s="3">
        <v>45959</v>
      </c>
      <c r="CI3347">
        <v>1</v>
      </c>
      <c r="CJ3347">
        <v>1</v>
      </c>
      <c r="CK3347">
        <v>41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"080068793283"</f>
        <v>080068793283</v>
      </c>
      <c r="F3348" s="3">
        <v>45958</v>
      </c>
      <c r="G3348">
        <v>202607</v>
      </c>
      <c r="H3348" t="s">
        <v>79</v>
      </c>
      <c r="I3348" t="s">
        <v>80</v>
      </c>
      <c r="J3348" t="s">
        <v>91</v>
      </c>
      <c r="K3348" t="s">
        <v>78</v>
      </c>
      <c r="L3348" t="s">
        <v>75</v>
      </c>
      <c r="M3348" t="s">
        <v>76</v>
      </c>
      <c r="N3348" t="s">
        <v>1501</v>
      </c>
      <c r="O3348" t="s">
        <v>226</v>
      </c>
      <c r="P3348" t="str">
        <f>"4170066451                    "</f>
        <v xml:space="preserve">4170066451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17.47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4</v>
      </c>
      <c r="BJ3348">
        <v>1.9</v>
      </c>
      <c r="BK3348">
        <v>4</v>
      </c>
      <c r="BL3348">
        <v>55.44</v>
      </c>
      <c r="BM3348">
        <v>8.32</v>
      </c>
      <c r="BN3348">
        <v>63.76</v>
      </c>
      <c r="BO3348">
        <v>63.76</v>
      </c>
      <c r="BQ3348" t="s">
        <v>1502</v>
      </c>
      <c r="BR3348" t="s">
        <v>97</v>
      </c>
      <c r="BS3348" s="3">
        <v>45959</v>
      </c>
      <c r="BT3348" s="4">
        <v>0.52222222222222225</v>
      </c>
      <c r="BU3348" t="s">
        <v>1259</v>
      </c>
      <c r="BV3348" t="s">
        <v>86</v>
      </c>
      <c r="BY3348">
        <v>9600</v>
      </c>
      <c r="CA3348" t="s">
        <v>1149</v>
      </c>
      <c r="CC3348" t="s">
        <v>76</v>
      </c>
      <c r="CD3348">
        <v>2163</v>
      </c>
      <c r="CE3348" t="s">
        <v>191</v>
      </c>
      <c r="CF3348" s="3">
        <v>45960</v>
      </c>
      <c r="CI3348">
        <v>1</v>
      </c>
      <c r="CJ3348">
        <v>1</v>
      </c>
      <c r="CK3348">
        <v>32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"080068793292"</f>
        <v>080068793292</v>
      </c>
      <c r="F3349" s="3">
        <v>45958</v>
      </c>
      <c r="G3349">
        <v>202607</v>
      </c>
      <c r="H3349" t="s">
        <v>79</v>
      </c>
      <c r="I3349" t="s">
        <v>80</v>
      </c>
      <c r="J3349" t="s">
        <v>91</v>
      </c>
      <c r="K3349" t="s">
        <v>78</v>
      </c>
      <c r="L3349" t="s">
        <v>206</v>
      </c>
      <c r="M3349" t="s">
        <v>207</v>
      </c>
      <c r="N3349" t="s">
        <v>208</v>
      </c>
      <c r="O3349" t="s">
        <v>82</v>
      </c>
      <c r="P3349" t="str">
        <f>"4170066469                    "</f>
        <v xml:space="preserve">4170066469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22.36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70.959999999999994</v>
      </c>
      <c r="BM3349">
        <v>10.64</v>
      </c>
      <c r="BN3349">
        <v>81.599999999999994</v>
      </c>
      <c r="BO3349">
        <v>81.599999999999994</v>
      </c>
      <c r="BQ3349" t="s">
        <v>209</v>
      </c>
      <c r="BR3349" t="s">
        <v>97</v>
      </c>
      <c r="BS3349" s="3">
        <v>45959</v>
      </c>
      <c r="BT3349" s="4">
        <v>0.38263888888888886</v>
      </c>
      <c r="BU3349" t="s">
        <v>1732</v>
      </c>
      <c r="BV3349" t="s">
        <v>86</v>
      </c>
      <c r="BY3349">
        <v>1200</v>
      </c>
      <c r="CA3349" t="s">
        <v>211</v>
      </c>
      <c r="CC3349" t="s">
        <v>207</v>
      </c>
      <c r="CD3349">
        <v>7441</v>
      </c>
      <c r="CE3349" t="s">
        <v>147</v>
      </c>
      <c r="CF3349" s="3">
        <v>45960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"080068793321"</f>
        <v>080068793321</v>
      </c>
      <c r="F3350" s="3">
        <v>45958</v>
      </c>
      <c r="G3350">
        <v>202607</v>
      </c>
      <c r="H3350" t="s">
        <v>79</v>
      </c>
      <c r="I3350" t="s">
        <v>80</v>
      </c>
      <c r="J3350" t="s">
        <v>91</v>
      </c>
      <c r="K3350" t="s">
        <v>78</v>
      </c>
      <c r="L3350" t="s">
        <v>148</v>
      </c>
      <c r="M3350" t="s">
        <v>149</v>
      </c>
      <c r="N3350" t="s">
        <v>465</v>
      </c>
      <c r="O3350" t="s">
        <v>82</v>
      </c>
      <c r="P3350" t="str">
        <f>"4170066486                    "</f>
        <v xml:space="preserve">4170066486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17.46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1.1000000000000001</v>
      </c>
      <c r="BK3350">
        <v>2</v>
      </c>
      <c r="BL3350">
        <v>55.42</v>
      </c>
      <c r="BM3350">
        <v>8.31</v>
      </c>
      <c r="BN3350">
        <v>63.73</v>
      </c>
      <c r="BO3350">
        <v>63.73</v>
      </c>
      <c r="BQ3350" t="s">
        <v>466</v>
      </c>
      <c r="BR3350" t="s">
        <v>97</v>
      </c>
      <c r="BS3350" s="3">
        <v>45959</v>
      </c>
      <c r="BT3350" s="4">
        <v>0.36805555555555558</v>
      </c>
      <c r="BU3350" t="s">
        <v>3533</v>
      </c>
      <c r="BV3350" t="s">
        <v>86</v>
      </c>
      <c r="BY3350">
        <v>5510</v>
      </c>
      <c r="CA3350" t="s">
        <v>1408</v>
      </c>
      <c r="CC3350" t="s">
        <v>149</v>
      </c>
      <c r="CD3350">
        <v>2094</v>
      </c>
      <c r="CE3350" t="s">
        <v>191</v>
      </c>
      <c r="CF3350" s="3">
        <v>45960</v>
      </c>
      <c r="CI3350">
        <v>1</v>
      </c>
      <c r="CJ3350">
        <v>1</v>
      </c>
      <c r="CK3350">
        <v>22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"080068793334"</f>
        <v>080068793334</v>
      </c>
      <c r="F3351" s="3">
        <v>45958</v>
      </c>
      <c r="G3351">
        <v>202607</v>
      </c>
      <c r="H3351" t="s">
        <v>79</v>
      </c>
      <c r="I3351" t="s">
        <v>80</v>
      </c>
      <c r="J3351" t="s">
        <v>91</v>
      </c>
      <c r="K3351" t="s">
        <v>78</v>
      </c>
      <c r="L3351" t="s">
        <v>79</v>
      </c>
      <c r="M3351" t="s">
        <v>80</v>
      </c>
      <c r="N3351" t="s">
        <v>2385</v>
      </c>
      <c r="O3351" t="s">
        <v>82</v>
      </c>
      <c r="P3351" t="str">
        <f>"4170066476                    "</f>
        <v xml:space="preserve">4170066476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17.46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55.42</v>
      </c>
      <c r="BM3351">
        <v>8.31</v>
      </c>
      <c r="BN3351">
        <v>63.73</v>
      </c>
      <c r="BO3351">
        <v>63.73</v>
      </c>
      <c r="BQ3351" t="s">
        <v>2386</v>
      </c>
      <c r="BR3351" t="s">
        <v>97</v>
      </c>
      <c r="BS3351" s="3">
        <v>45959</v>
      </c>
      <c r="BT3351" s="4">
        <v>0.3611111111111111</v>
      </c>
      <c r="BU3351" t="s">
        <v>2609</v>
      </c>
      <c r="BV3351" t="s">
        <v>86</v>
      </c>
      <c r="BY3351">
        <v>1200</v>
      </c>
      <c r="CA3351" t="s">
        <v>88</v>
      </c>
      <c r="CC3351" t="s">
        <v>80</v>
      </c>
      <c r="CD3351">
        <v>1600</v>
      </c>
      <c r="CE3351" t="s">
        <v>147</v>
      </c>
      <c r="CF3351" s="3">
        <v>45959</v>
      </c>
      <c r="CI3351">
        <v>1</v>
      </c>
      <c r="CJ3351">
        <v>1</v>
      </c>
      <c r="CK3351">
        <v>22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"080068793357"</f>
        <v>080068793357</v>
      </c>
      <c r="F3352" s="3">
        <v>45958</v>
      </c>
      <c r="G3352">
        <v>202607</v>
      </c>
      <c r="H3352" t="s">
        <v>79</v>
      </c>
      <c r="I3352" t="s">
        <v>80</v>
      </c>
      <c r="J3352" t="s">
        <v>91</v>
      </c>
      <c r="K3352" t="s">
        <v>78</v>
      </c>
      <c r="L3352" t="s">
        <v>223</v>
      </c>
      <c r="M3352" t="s">
        <v>224</v>
      </c>
      <c r="N3352" t="s">
        <v>225</v>
      </c>
      <c r="O3352" t="s">
        <v>82</v>
      </c>
      <c r="P3352" t="str">
        <f>"4170066475                    "</f>
        <v xml:space="preserve">4170066475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17.46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0.9</v>
      </c>
      <c r="BK3352">
        <v>1</v>
      </c>
      <c r="BL3352">
        <v>55.42</v>
      </c>
      <c r="BM3352">
        <v>8.31</v>
      </c>
      <c r="BN3352">
        <v>63.73</v>
      </c>
      <c r="BO3352">
        <v>63.73</v>
      </c>
      <c r="BQ3352" t="s">
        <v>227</v>
      </c>
      <c r="BR3352" t="s">
        <v>97</v>
      </c>
      <c r="BS3352" s="3">
        <v>45959</v>
      </c>
      <c r="BT3352" s="4">
        <v>0.36944444444444446</v>
      </c>
      <c r="BU3352" t="s">
        <v>3080</v>
      </c>
      <c r="BV3352" t="s">
        <v>86</v>
      </c>
      <c r="BY3352">
        <v>4275</v>
      </c>
      <c r="CA3352" t="s">
        <v>508</v>
      </c>
      <c r="CC3352" t="s">
        <v>224</v>
      </c>
      <c r="CD3352">
        <v>1459</v>
      </c>
      <c r="CE3352" t="s">
        <v>191</v>
      </c>
      <c r="CF3352" s="3">
        <v>45959</v>
      </c>
      <c r="CI3352">
        <v>1</v>
      </c>
      <c r="CJ3352">
        <v>1</v>
      </c>
      <c r="CK3352">
        <v>22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"080068793370"</f>
        <v>080068793370</v>
      </c>
      <c r="F3353" s="3">
        <v>45958</v>
      </c>
      <c r="G3353">
        <v>202607</v>
      </c>
      <c r="H3353" t="s">
        <v>79</v>
      </c>
      <c r="I3353" t="s">
        <v>80</v>
      </c>
      <c r="J3353" t="s">
        <v>91</v>
      </c>
      <c r="K3353" t="s">
        <v>78</v>
      </c>
      <c r="L3353" t="s">
        <v>121</v>
      </c>
      <c r="M3353" t="s">
        <v>122</v>
      </c>
      <c r="N3353" t="s">
        <v>3545</v>
      </c>
      <c r="O3353" t="s">
        <v>82</v>
      </c>
      <c r="P3353" t="str">
        <f>"4170066483                    "</f>
        <v xml:space="preserve">4170066483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22.36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70.959999999999994</v>
      </c>
      <c r="BM3353">
        <v>10.64</v>
      </c>
      <c r="BN3353">
        <v>81.599999999999994</v>
      </c>
      <c r="BO3353">
        <v>81.599999999999994</v>
      </c>
      <c r="BQ3353" t="s">
        <v>3546</v>
      </c>
      <c r="BR3353" t="s">
        <v>97</v>
      </c>
      <c r="BS3353" s="3">
        <v>45959</v>
      </c>
      <c r="BT3353" s="4">
        <v>0.40763888888888888</v>
      </c>
      <c r="BU3353" t="s">
        <v>3547</v>
      </c>
      <c r="BV3353" t="s">
        <v>86</v>
      </c>
      <c r="BY3353">
        <v>1200</v>
      </c>
      <c r="CA3353" t="s">
        <v>331</v>
      </c>
      <c r="CC3353" t="s">
        <v>122</v>
      </c>
      <c r="CD3353">
        <v>4060</v>
      </c>
      <c r="CE3353" t="s">
        <v>147</v>
      </c>
      <c r="CF3353" s="3">
        <v>45960</v>
      </c>
      <c r="CI3353">
        <v>1</v>
      </c>
      <c r="CJ3353">
        <v>1</v>
      </c>
      <c r="CK3353">
        <v>21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"080068793409"</f>
        <v>080068793409</v>
      </c>
      <c r="F3354" s="3">
        <v>45958</v>
      </c>
      <c r="G3354">
        <v>202607</v>
      </c>
      <c r="H3354" t="s">
        <v>79</v>
      </c>
      <c r="I3354" t="s">
        <v>80</v>
      </c>
      <c r="J3354" t="s">
        <v>91</v>
      </c>
      <c r="K3354" t="s">
        <v>78</v>
      </c>
      <c r="L3354" t="s">
        <v>453</v>
      </c>
      <c r="M3354" t="s">
        <v>454</v>
      </c>
      <c r="N3354" t="s">
        <v>2528</v>
      </c>
      <c r="O3354" t="s">
        <v>82</v>
      </c>
      <c r="P3354" t="str">
        <f>"4170066457                    "</f>
        <v xml:space="preserve">4170066457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22.36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</v>
      </c>
      <c r="BJ3354">
        <v>1.9</v>
      </c>
      <c r="BK3354">
        <v>2</v>
      </c>
      <c r="BL3354">
        <v>70.959999999999994</v>
      </c>
      <c r="BM3354">
        <v>10.64</v>
      </c>
      <c r="BN3354">
        <v>81.599999999999994</v>
      </c>
      <c r="BO3354">
        <v>81.599999999999994</v>
      </c>
      <c r="BQ3354" t="s">
        <v>2529</v>
      </c>
      <c r="BR3354" t="s">
        <v>97</v>
      </c>
      <c r="BS3354" s="3">
        <v>45959</v>
      </c>
      <c r="BT3354" s="4">
        <v>0.46875</v>
      </c>
      <c r="BU3354" t="s">
        <v>3556</v>
      </c>
      <c r="BV3354" t="s">
        <v>90</v>
      </c>
      <c r="BW3354" t="s">
        <v>771</v>
      </c>
      <c r="BX3354" t="s">
        <v>787</v>
      </c>
      <c r="BY3354">
        <v>9600</v>
      </c>
      <c r="CA3354" t="s">
        <v>2688</v>
      </c>
      <c r="CC3354" t="s">
        <v>454</v>
      </c>
      <c r="CD3354">
        <v>4037</v>
      </c>
      <c r="CE3354" t="s">
        <v>191</v>
      </c>
      <c r="CF3354" s="3">
        <v>45959</v>
      </c>
      <c r="CI3354">
        <v>1</v>
      </c>
      <c r="CJ3354">
        <v>1</v>
      </c>
      <c r="CK3354">
        <v>21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"080068793411"</f>
        <v>080068793411</v>
      </c>
      <c r="F3355" s="3">
        <v>45958</v>
      </c>
      <c r="G3355">
        <v>202607</v>
      </c>
      <c r="H3355" t="s">
        <v>79</v>
      </c>
      <c r="I3355" t="s">
        <v>80</v>
      </c>
      <c r="J3355" t="s">
        <v>91</v>
      </c>
      <c r="K3355" t="s">
        <v>78</v>
      </c>
      <c r="L3355" t="s">
        <v>1312</v>
      </c>
      <c r="M3355" t="s">
        <v>1313</v>
      </c>
      <c r="N3355" t="s">
        <v>1314</v>
      </c>
      <c r="O3355" t="s">
        <v>82</v>
      </c>
      <c r="P3355" t="str">
        <f>"4170066489                    "</f>
        <v xml:space="preserve">4170066489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31.44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99.79</v>
      </c>
      <c r="BM3355">
        <v>14.97</v>
      </c>
      <c r="BN3355">
        <v>114.76</v>
      </c>
      <c r="BO3355">
        <v>114.76</v>
      </c>
      <c r="BQ3355" t="s">
        <v>1315</v>
      </c>
      <c r="BR3355" t="s">
        <v>97</v>
      </c>
      <c r="BS3355" s="3">
        <v>45959</v>
      </c>
      <c r="BT3355" s="4">
        <v>0.37847222222222221</v>
      </c>
      <c r="BU3355" t="s">
        <v>2187</v>
      </c>
      <c r="BV3355" t="s">
        <v>86</v>
      </c>
      <c r="BY3355">
        <v>1200</v>
      </c>
      <c r="CA3355" t="s">
        <v>1318</v>
      </c>
      <c r="CC3355" t="s">
        <v>1313</v>
      </c>
      <c r="CD3355">
        <v>2410</v>
      </c>
      <c r="CE3355" t="s">
        <v>147</v>
      </c>
      <c r="CF3355" s="3">
        <v>45960</v>
      </c>
      <c r="CI3355">
        <v>1</v>
      </c>
      <c r="CJ3355">
        <v>1</v>
      </c>
      <c r="CK3355">
        <v>24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"080068793442"</f>
        <v>080068793442</v>
      </c>
      <c r="F3356" s="3">
        <v>45958</v>
      </c>
      <c r="G3356">
        <v>202607</v>
      </c>
      <c r="H3356" t="s">
        <v>79</v>
      </c>
      <c r="I3356" t="s">
        <v>80</v>
      </c>
      <c r="J3356" t="s">
        <v>91</v>
      </c>
      <c r="K3356" t="s">
        <v>78</v>
      </c>
      <c r="L3356" t="s">
        <v>148</v>
      </c>
      <c r="M3356" t="s">
        <v>149</v>
      </c>
      <c r="N3356" t="s">
        <v>685</v>
      </c>
      <c r="O3356" t="s">
        <v>82</v>
      </c>
      <c r="P3356" t="str">
        <f>"4170066458                    "</f>
        <v xml:space="preserve">4170066458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17.46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55.42</v>
      </c>
      <c r="BM3356">
        <v>8.31</v>
      </c>
      <c r="BN3356">
        <v>63.73</v>
      </c>
      <c r="BO3356">
        <v>63.73</v>
      </c>
      <c r="BQ3356" t="s">
        <v>686</v>
      </c>
      <c r="BR3356" t="s">
        <v>97</v>
      </c>
      <c r="BS3356" s="3">
        <v>45959</v>
      </c>
      <c r="BT3356" s="4">
        <v>0.38541666666666669</v>
      </c>
      <c r="BU3356" t="s">
        <v>902</v>
      </c>
      <c r="BV3356" t="s">
        <v>86</v>
      </c>
      <c r="BY3356">
        <v>1200</v>
      </c>
      <c r="CA3356" t="s">
        <v>904</v>
      </c>
      <c r="CC3356" t="s">
        <v>149</v>
      </c>
      <c r="CD3356">
        <v>2169</v>
      </c>
      <c r="CE3356" t="s">
        <v>147</v>
      </c>
      <c r="CF3356" s="3">
        <v>45960</v>
      </c>
      <c r="CI3356">
        <v>1</v>
      </c>
      <c r="CJ3356">
        <v>1</v>
      </c>
      <c r="CK3356">
        <v>22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"080068793505"</f>
        <v>080068793505</v>
      </c>
      <c r="F3357" s="3">
        <v>45958</v>
      </c>
      <c r="G3357">
        <v>202607</v>
      </c>
      <c r="H3357" t="s">
        <v>79</v>
      </c>
      <c r="I3357" t="s">
        <v>80</v>
      </c>
      <c r="J3357" t="s">
        <v>91</v>
      </c>
      <c r="K3357" t="s">
        <v>78</v>
      </c>
      <c r="L3357" t="s">
        <v>79</v>
      </c>
      <c r="M3357" t="s">
        <v>80</v>
      </c>
      <c r="N3357" t="s">
        <v>3063</v>
      </c>
      <c r="O3357" t="s">
        <v>82</v>
      </c>
      <c r="P3357" t="str">
        <f>"4170066459                    "</f>
        <v xml:space="preserve">4170066459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17.46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55.42</v>
      </c>
      <c r="BM3357">
        <v>8.31</v>
      </c>
      <c r="BN3357">
        <v>63.73</v>
      </c>
      <c r="BO3357">
        <v>63.73</v>
      </c>
      <c r="BQ3357" t="s">
        <v>3064</v>
      </c>
      <c r="BR3357" t="s">
        <v>97</v>
      </c>
      <c r="BS3357" s="3">
        <v>45959</v>
      </c>
      <c r="BT3357" s="4">
        <v>0.41666666666666669</v>
      </c>
      <c r="BU3357" t="s">
        <v>2651</v>
      </c>
      <c r="BV3357" t="s">
        <v>86</v>
      </c>
      <c r="BY3357">
        <v>1200</v>
      </c>
      <c r="CA3357" t="s">
        <v>419</v>
      </c>
      <c r="CC3357" t="s">
        <v>80</v>
      </c>
      <c r="CD3357">
        <v>1665</v>
      </c>
      <c r="CE3357" t="s">
        <v>147</v>
      </c>
      <c r="CF3357" s="3">
        <v>45959</v>
      </c>
      <c r="CI3357">
        <v>1</v>
      </c>
      <c r="CJ3357">
        <v>1</v>
      </c>
      <c r="CK3357">
        <v>22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"080068793537"</f>
        <v>080068793537</v>
      </c>
      <c r="F3358" s="3">
        <v>45958</v>
      </c>
      <c r="G3358">
        <v>202607</v>
      </c>
      <c r="H3358" t="s">
        <v>79</v>
      </c>
      <c r="I3358" t="s">
        <v>80</v>
      </c>
      <c r="J3358" t="s">
        <v>91</v>
      </c>
      <c r="K3358" t="s">
        <v>78</v>
      </c>
      <c r="L3358" t="s">
        <v>406</v>
      </c>
      <c r="M3358" t="s">
        <v>407</v>
      </c>
      <c r="N3358" t="s">
        <v>797</v>
      </c>
      <c r="O3358" t="s">
        <v>82</v>
      </c>
      <c r="P3358" t="str">
        <f>"4170066342                    "</f>
        <v xml:space="preserve">4170066342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31.44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99.79</v>
      </c>
      <c r="BM3358">
        <v>14.97</v>
      </c>
      <c r="BN3358">
        <v>114.76</v>
      </c>
      <c r="BO3358">
        <v>114.76</v>
      </c>
      <c r="BQ3358" t="s">
        <v>798</v>
      </c>
      <c r="BR3358" t="s">
        <v>97</v>
      </c>
      <c r="BS3358" s="3">
        <v>45959</v>
      </c>
      <c r="BT3358" s="4">
        <v>0.39305555555555555</v>
      </c>
      <c r="BU3358" t="s">
        <v>3557</v>
      </c>
      <c r="BV3358" t="s">
        <v>86</v>
      </c>
      <c r="BY3358">
        <v>1200</v>
      </c>
      <c r="CA3358" t="s">
        <v>1619</v>
      </c>
      <c r="CC3358" t="s">
        <v>407</v>
      </c>
      <c r="CD3358">
        <v>1438</v>
      </c>
      <c r="CE3358" t="s">
        <v>147</v>
      </c>
      <c r="CF3358" s="3">
        <v>45960</v>
      </c>
      <c r="CI3358">
        <v>1</v>
      </c>
      <c r="CJ3358">
        <v>1</v>
      </c>
      <c r="CK3358">
        <v>24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"080068793692"</f>
        <v>080068793692</v>
      </c>
      <c r="F3359" s="3">
        <v>45958</v>
      </c>
      <c r="G3359">
        <v>202607</v>
      </c>
      <c r="H3359" t="s">
        <v>79</v>
      </c>
      <c r="I3359" t="s">
        <v>80</v>
      </c>
      <c r="J3359" t="s">
        <v>91</v>
      </c>
      <c r="K3359" t="s">
        <v>78</v>
      </c>
      <c r="L3359" t="s">
        <v>108</v>
      </c>
      <c r="M3359" t="s">
        <v>109</v>
      </c>
      <c r="N3359" t="s">
        <v>1567</v>
      </c>
      <c r="O3359" t="s">
        <v>82</v>
      </c>
      <c r="P3359" t="str">
        <f>"4170066487                    "</f>
        <v xml:space="preserve">4170066487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22.36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70.959999999999994</v>
      </c>
      <c r="BM3359">
        <v>10.64</v>
      </c>
      <c r="BN3359">
        <v>81.599999999999994</v>
      </c>
      <c r="BO3359">
        <v>81.599999999999994</v>
      </c>
      <c r="BQ3359" t="s">
        <v>1568</v>
      </c>
      <c r="BR3359" t="s">
        <v>97</v>
      </c>
      <c r="BS3359" s="3">
        <v>45959</v>
      </c>
      <c r="BT3359" s="4">
        <v>0.38194444444444442</v>
      </c>
      <c r="BU3359" t="s">
        <v>2759</v>
      </c>
      <c r="BV3359" t="s">
        <v>86</v>
      </c>
      <c r="BY3359">
        <v>1200</v>
      </c>
      <c r="CA3359" t="s">
        <v>113</v>
      </c>
      <c r="CC3359" t="s">
        <v>109</v>
      </c>
      <c r="CD3359">
        <v>6000</v>
      </c>
      <c r="CE3359" t="s">
        <v>147</v>
      </c>
      <c r="CF3359" s="3">
        <v>45959</v>
      </c>
      <c r="CI3359">
        <v>1</v>
      </c>
      <c r="CJ3359">
        <v>1</v>
      </c>
      <c r="CK3359">
        <v>21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"080068793721"</f>
        <v>080068793721</v>
      </c>
      <c r="F3360" s="3">
        <v>45958</v>
      </c>
      <c r="G3360">
        <v>202607</v>
      </c>
      <c r="H3360" t="s">
        <v>79</v>
      </c>
      <c r="I3360" t="s">
        <v>80</v>
      </c>
      <c r="J3360" t="s">
        <v>91</v>
      </c>
      <c r="K3360" t="s">
        <v>78</v>
      </c>
      <c r="L3360" t="s">
        <v>259</v>
      </c>
      <c r="M3360" t="s">
        <v>260</v>
      </c>
      <c r="N3360" t="s">
        <v>261</v>
      </c>
      <c r="O3360" t="s">
        <v>82</v>
      </c>
      <c r="P3360" t="str">
        <f>"4170066464                    "</f>
        <v xml:space="preserve">4170066464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43.31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137.47</v>
      </c>
      <c r="BM3360">
        <v>20.62</v>
      </c>
      <c r="BN3360">
        <v>158.09</v>
      </c>
      <c r="BO3360">
        <v>158.09</v>
      </c>
      <c r="BQ3360" t="s">
        <v>262</v>
      </c>
      <c r="BR3360" t="s">
        <v>97</v>
      </c>
      <c r="BS3360" s="3">
        <v>45959</v>
      </c>
      <c r="BT3360" s="4">
        <v>0.66736111111111107</v>
      </c>
      <c r="BU3360" t="s">
        <v>2492</v>
      </c>
      <c r="BV3360" t="s">
        <v>86</v>
      </c>
      <c r="BY3360">
        <v>1200</v>
      </c>
      <c r="CA3360" t="s">
        <v>264</v>
      </c>
      <c r="CC3360" t="s">
        <v>260</v>
      </c>
      <c r="CD3360">
        <v>2380</v>
      </c>
      <c r="CE3360" t="s">
        <v>147</v>
      </c>
      <c r="CF3360" s="3">
        <v>45960</v>
      </c>
      <c r="CI3360">
        <v>1</v>
      </c>
      <c r="CJ3360">
        <v>1</v>
      </c>
      <c r="CK3360">
        <v>23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"080068793751"</f>
        <v>080068793751</v>
      </c>
      <c r="F3361" s="3">
        <v>45958</v>
      </c>
      <c r="G3361">
        <v>202607</v>
      </c>
      <c r="H3361" t="s">
        <v>79</v>
      </c>
      <c r="I3361" t="s">
        <v>80</v>
      </c>
      <c r="J3361" t="s">
        <v>91</v>
      </c>
      <c r="K3361" t="s">
        <v>78</v>
      </c>
      <c r="L3361" t="s">
        <v>453</v>
      </c>
      <c r="M3361" t="s">
        <v>454</v>
      </c>
      <c r="N3361" t="s">
        <v>1223</v>
      </c>
      <c r="O3361" t="s">
        <v>82</v>
      </c>
      <c r="P3361" t="str">
        <f>"4170066478                    "</f>
        <v xml:space="preserve">4170066478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22.36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70.959999999999994</v>
      </c>
      <c r="BM3361">
        <v>10.64</v>
      </c>
      <c r="BN3361">
        <v>81.599999999999994</v>
      </c>
      <c r="BO3361">
        <v>81.599999999999994</v>
      </c>
      <c r="BQ3361" t="s">
        <v>1224</v>
      </c>
      <c r="BR3361" t="s">
        <v>97</v>
      </c>
      <c r="BS3361" s="3">
        <v>45959</v>
      </c>
      <c r="BT3361" s="4">
        <v>0.53263888888888888</v>
      </c>
      <c r="BU3361" t="s">
        <v>2675</v>
      </c>
      <c r="BV3361" t="s">
        <v>86</v>
      </c>
      <c r="BY3361">
        <v>1200</v>
      </c>
      <c r="CA3361" t="s">
        <v>742</v>
      </c>
      <c r="CC3361" t="s">
        <v>454</v>
      </c>
      <c r="CD3361">
        <v>3610</v>
      </c>
      <c r="CE3361" t="s">
        <v>147</v>
      </c>
      <c r="CF3361" s="3">
        <v>45959</v>
      </c>
      <c r="CI3361">
        <v>1</v>
      </c>
      <c r="CJ3361">
        <v>1</v>
      </c>
      <c r="CK3361">
        <v>21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"080068794061"</f>
        <v>080068794061</v>
      </c>
      <c r="F3362" s="3">
        <v>45958</v>
      </c>
      <c r="G3362">
        <v>202607</v>
      </c>
      <c r="H3362" t="s">
        <v>79</v>
      </c>
      <c r="I3362" t="s">
        <v>80</v>
      </c>
      <c r="J3362" t="s">
        <v>91</v>
      </c>
      <c r="K3362" t="s">
        <v>78</v>
      </c>
      <c r="L3362" t="s">
        <v>763</v>
      </c>
      <c r="M3362" t="s">
        <v>764</v>
      </c>
      <c r="N3362" t="s">
        <v>765</v>
      </c>
      <c r="O3362" t="s">
        <v>82</v>
      </c>
      <c r="P3362" t="str">
        <f>"4170066480                    "</f>
        <v xml:space="preserve">4170066480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278.02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2</v>
      </c>
      <c r="BI3362">
        <v>14</v>
      </c>
      <c r="BJ3362">
        <v>7.1</v>
      </c>
      <c r="BK3362">
        <v>14</v>
      </c>
      <c r="BL3362">
        <v>882.42</v>
      </c>
      <c r="BM3362">
        <v>132.36000000000001</v>
      </c>
      <c r="BN3362">
        <v>1014.78</v>
      </c>
      <c r="BO3362">
        <v>1014.78</v>
      </c>
      <c r="BQ3362" t="s">
        <v>766</v>
      </c>
      <c r="BR3362" t="s">
        <v>97</v>
      </c>
      <c r="BS3362" s="3">
        <v>45959</v>
      </c>
      <c r="BT3362" s="4">
        <v>0.54166666666666663</v>
      </c>
      <c r="BU3362" t="s">
        <v>1195</v>
      </c>
      <c r="BV3362" t="s">
        <v>86</v>
      </c>
      <c r="BY3362">
        <v>35496</v>
      </c>
      <c r="CA3362" t="s">
        <v>768</v>
      </c>
      <c r="CC3362" t="s">
        <v>764</v>
      </c>
      <c r="CD3362">
        <v>2531</v>
      </c>
      <c r="CE3362" t="s">
        <v>191</v>
      </c>
      <c r="CF3362" s="3">
        <v>45960</v>
      </c>
      <c r="CI3362">
        <v>1</v>
      </c>
      <c r="CJ3362">
        <v>1</v>
      </c>
      <c r="CK3362">
        <v>23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"080068794946"</f>
        <v>080068794946</v>
      </c>
      <c r="F3363" s="3">
        <v>45958</v>
      </c>
      <c r="G3363">
        <v>202607</v>
      </c>
      <c r="H3363" t="s">
        <v>79</v>
      </c>
      <c r="I3363" t="s">
        <v>80</v>
      </c>
      <c r="J3363" t="s">
        <v>91</v>
      </c>
      <c r="K3363" t="s">
        <v>78</v>
      </c>
      <c r="L3363" t="s">
        <v>809</v>
      </c>
      <c r="M3363" t="s">
        <v>810</v>
      </c>
      <c r="N3363" t="s">
        <v>2866</v>
      </c>
      <c r="O3363" t="s">
        <v>226</v>
      </c>
      <c r="P3363" t="str">
        <f>"4170066468                    "</f>
        <v xml:space="preserve">4170066468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17.47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</v>
      </c>
      <c r="BJ3363">
        <v>2.9</v>
      </c>
      <c r="BK3363">
        <v>3</v>
      </c>
      <c r="BL3363">
        <v>55.44</v>
      </c>
      <c r="BM3363">
        <v>8.32</v>
      </c>
      <c r="BN3363">
        <v>63.76</v>
      </c>
      <c r="BO3363">
        <v>63.76</v>
      </c>
      <c r="BQ3363" t="s">
        <v>2867</v>
      </c>
      <c r="BR3363" t="s">
        <v>97</v>
      </c>
      <c r="BS3363" s="3">
        <v>45959</v>
      </c>
      <c r="BT3363" s="4">
        <v>0.35486111111111113</v>
      </c>
      <c r="BU3363" t="s">
        <v>1697</v>
      </c>
      <c r="BV3363" t="s">
        <v>86</v>
      </c>
      <c r="BY3363">
        <v>14336</v>
      </c>
      <c r="CA3363" t="s">
        <v>1356</v>
      </c>
      <c r="CC3363" t="s">
        <v>810</v>
      </c>
      <c r="CD3363">
        <v>1709</v>
      </c>
      <c r="CE3363" t="s">
        <v>107</v>
      </c>
      <c r="CF3363" s="3">
        <v>45960</v>
      </c>
      <c r="CI3363">
        <v>1</v>
      </c>
      <c r="CJ3363">
        <v>1</v>
      </c>
      <c r="CK3363">
        <v>32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"080068795030"</f>
        <v>080068795030</v>
      </c>
      <c r="F3364" s="3">
        <v>45958</v>
      </c>
      <c r="G3364">
        <v>202607</v>
      </c>
      <c r="H3364" t="s">
        <v>79</v>
      </c>
      <c r="I3364" t="s">
        <v>80</v>
      </c>
      <c r="J3364" t="s">
        <v>91</v>
      </c>
      <c r="K3364" t="s">
        <v>78</v>
      </c>
      <c r="L3364" t="s">
        <v>121</v>
      </c>
      <c r="M3364" t="s">
        <v>122</v>
      </c>
      <c r="N3364" t="s">
        <v>3545</v>
      </c>
      <c r="O3364" t="s">
        <v>82</v>
      </c>
      <c r="P3364" t="str">
        <f>"4170066485                    "</f>
        <v xml:space="preserve">4170066485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78.2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2</v>
      </c>
      <c r="BI3364">
        <v>7</v>
      </c>
      <c r="BJ3364">
        <v>4.7</v>
      </c>
      <c r="BK3364">
        <v>7</v>
      </c>
      <c r="BL3364">
        <v>248.2</v>
      </c>
      <c r="BM3364">
        <v>37.229999999999997</v>
      </c>
      <c r="BN3364">
        <v>285.43</v>
      </c>
      <c r="BO3364">
        <v>285.43</v>
      </c>
      <c r="BQ3364" t="s">
        <v>3546</v>
      </c>
      <c r="BR3364" t="s">
        <v>97</v>
      </c>
      <c r="BS3364" s="3">
        <v>45959</v>
      </c>
      <c r="BT3364" s="4">
        <v>0.36527777777777776</v>
      </c>
      <c r="BU3364" t="s">
        <v>3547</v>
      </c>
      <c r="BV3364" t="s">
        <v>86</v>
      </c>
      <c r="BY3364">
        <v>23589</v>
      </c>
      <c r="CA3364" t="s">
        <v>331</v>
      </c>
      <c r="CC3364" t="s">
        <v>122</v>
      </c>
      <c r="CD3364">
        <v>4060</v>
      </c>
      <c r="CE3364" t="s">
        <v>107</v>
      </c>
      <c r="CF3364" s="3">
        <v>45960</v>
      </c>
      <c r="CI3364">
        <v>1</v>
      </c>
      <c r="CJ3364">
        <v>1</v>
      </c>
      <c r="CK3364">
        <v>21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"080068795103"</f>
        <v>080068795103</v>
      </c>
      <c r="F3365" s="3">
        <v>45958</v>
      </c>
      <c r="G3365">
        <v>202607</v>
      </c>
      <c r="H3365" t="s">
        <v>79</v>
      </c>
      <c r="I3365" t="s">
        <v>80</v>
      </c>
      <c r="J3365" t="s">
        <v>91</v>
      </c>
      <c r="K3365" t="s">
        <v>78</v>
      </c>
      <c r="L3365" t="s">
        <v>108</v>
      </c>
      <c r="M3365" t="s">
        <v>109</v>
      </c>
      <c r="N3365" t="s">
        <v>515</v>
      </c>
      <c r="O3365" t="s">
        <v>82</v>
      </c>
      <c r="P3365" t="str">
        <f>"4170066488                    "</f>
        <v xml:space="preserve">4170066488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22.36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70.959999999999994</v>
      </c>
      <c r="BM3365">
        <v>10.64</v>
      </c>
      <c r="BN3365">
        <v>81.599999999999994</v>
      </c>
      <c r="BO3365">
        <v>81.599999999999994</v>
      </c>
      <c r="BQ3365" t="s">
        <v>516</v>
      </c>
      <c r="BR3365" t="s">
        <v>97</v>
      </c>
      <c r="BS3365" s="3">
        <v>45959</v>
      </c>
      <c r="BT3365" s="4">
        <v>0.41666666666666669</v>
      </c>
      <c r="BU3365" t="s">
        <v>3313</v>
      </c>
      <c r="BV3365" t="s">
        <v>86</v>
      </c>
      <c r="BY3365">
        <v>1200</v>
      </c>
      <c r="CA3365" t="s">
        <v>113</v>
      </c>
      <c r="CC3365" t="s">
        <v>109</v>
      </c>
      <c r="CD3365">
        <v>6001</v>
      </c>
      <c r="CE3365" t="s">
        <v>1955</v>
      </c>
      <c r="CF3365" s="3">
        <v>45959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"080068795323"</f>
        <v>080068795323</v>
      </c>
      <c r="F3366" s="3">
        <v>45958</v>
      </c>
      <c r="G3366">
        <v>202607</v>
      </c>
      <c r="H3366" t="s">
        <v>79</v>
      </c>
      <c r="I3366" t="s">
        <v>80</v>
      </c>
      <c r="J3366" t="s">
        <v>91</v>
      </c>
      <c r="K3366" t="s">
        <v>78</v>
      </c>
      <c r="L3366" t="s">
        <v>3558</v>
      </c>
      <c r="M3366" t="s">
        <v>3559</v>
      </c>
      <c r="N3366" t="s">
        <v>3560</v>
      </c>
      <c r="O3366" t="s">
        <v>82</v>
      </c>
      <c r="P3366" t="str">
        <f>"4170066498                    "</f>
        <v xml:space="preserve">4170066498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62.87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</v>
      </c>
      <c r="BJ3366">
        <v>1.4</v>
      </c>
      <c r="BK3366">
        <v>3</v>
      </c>
      <c r="BL3366">
        <v>199.55</v>
      </c>
      <c r="BM3366">
        <v>29.93</v>
      </c>
      <c r="BN3366">
        <v>229.48</v>
      </c>
      <c r="BO3366">
        <v>229.48</v>
      </c>
      <c r="BQ3366" t="s">
        <v>3561</v>
      </c>
      <c r="BR3366" t="s">
        <v>97</v>
      </c>
      <c r="BS3366" t="s">
        <v>2659</v>
      </c>
      <c r="BY3366">
        <v>7140</v>
      </c>
      <c r="CC3366" t="s">
        <v>3559</v>
      </c>
      <c r="CD3366">
        <v>6335</v>
      </c>
      <c r="CE3366" t="s">
        <v>107</v>
      </c>
      <c r="CI3366">
        <v>2</v>
      </c>
      <c r="CJ3366" t="s">
        <v>2659</v>
      </c>
      <c r="CK3366">
        <v>23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"080068795360"</f>
        <v>080068795360</v>
      </c>
      <c r="F3367" s="3">
        <v>45958</v>
      </c>
      <c r="G3367">
        <v>202607</v>
      </c>
      <c r="H3367" t="s">
        <v>79</v>
      </c>
      <c r="I3367" t="s">
        <v>80</v>
      </c>
      <c r="J3367" t="s">
        <v>91</v>
      </c>
      <c r="K3367" t="s">
        <v>78</v>
      </c>
      <c r="L3367" t="s">
        <v>453</v>
      </c>
      <c r="M3367" t="s">
        <v>454</v>
      </c>
      <c r="N3367" t="s">
        <v>455</v>
      </c>
      <c r="O3367" t="s">
        <v>82</v>
      </c>
      <c r="P3367" t="str">
        <f>"4170066482                    "</f>
        <v xml:space="preserve">4170066482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33.520000000000003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3</v>
      </c>
      <c r="BJ3367">
        <v>1.5</v>
      </c>
      <c r="BK3367">
        <v>3</v>
      </c>
      <c r="BL3367">
        <v>106.4</v>
      </c>
      <c r="BM3367">
        <v>15.96</v>
      </c>
      <c r="BN3367">
        <v>122.36</v>
      </c>
      <c r="BO3367">
        <v>122.36</v>
      </c>
      <c r="BQ3367" t="s">
        <v>456</v>
      </c>
      <c r="BR3367" t="s">
        <v>97</v>
      </c>
      <c r="BS3367" s="3">
        <v>45959</v>
      </c>
      <c r="BT3367" s="4">
        <v>0.4375</v>
      </c>
      <c r="BU3367" t="s">
        <v>434</v>
      </c>
      <c r="BV3367" t="s">
        <v>86</v>
      </c>
      <c r="BY3367">
        <v>7714</v>
      </c>
      <c r="CA3367" t="s">
        <v>457</v>
      </c>
      <c r="CC3367" t="s">
        <v>454</v>
      </c>
      <c r="CD3367">
        <v>3608</v>
      </c>
      <c r="CE3367" t="s">
        <v>191</v>
      </c>
      <c r="CF3367" s="3">
        <v>45960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"080068795922"</f>
        <v>080068795922</v>
      </c>
      <c r="F3368" s="3">
        <v>45958</v>
      </c>
      <c r="G3368">
        <v>202607</v>
      </c>
      <c r="H3368" t="s">
        <v>79</v>
      </c>
      <c r="I3368" t="s">
        <v>80</v>
      </c>
      <c r="J3368" t="s">
        <v>91</v>
      </c>
      <c r="K3368" t="s">
        <v>78</v>
      </c>
      <c r="L3368" t="s">
        <v>206</v>
      </c>
      <c r="M3368" t="s">
        <v>207</v>
      </c>
      <c r="N3368" t="s">
        <v>943</v>
      </c>
      <c r="O3368" t="s">
        <v>82</v>
      </c>
      <c r="P3368" t="str">
        <f>"4170066494                    "</f>
        <v xml:space="preserve">4170066494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22.36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2</v>
      </c>
      <c r="BJ3368">
        <v>1.9</v>
      </c>
      <c r="BK3368">
        <v>2</v>
      </c>
      <c r="BL3368">
        <v>70.959999999999994</v>
      </c>
      <c r="BM3368">
        <v>10.64</v>
      </c>
      <c r="BN3368">
        <v>81.599999999999994</v>
      </c>
      <c r="BO3368">
        <v>81.599999999999994</v>
      </c>
      <c r="BQ3368" t="s">
        <v>944</v>
      </c>
      <c r="BR3368" t="s">
        <v>97</v>
      </c>
      <c r="BS3368" s="3">
        <v>45959</v>
      </c>
      <c r="BT3368" s="4">
        <v>0.375</v>
      </c>
      <c r="BU3368" t="s">
        <v>3562</v>
      </c>
      <c r="BV3368" t="s">
        <v>86</v>
      </c>
      <c r="BY3368">
        <v>9690</v>
      </c>
      <c r="CA3368" t="s">
        <v>461</v>
      </c>
      <c r="CC3368" t="s">
        <v>207</v>
      </c>
      <c r="CD3368">
        <v>7535</v>
      </c>
      <c r="CE3368" t="s">
        <v>191</v>
      </c>
      <c r="CF3368" s="3">
        <v>45960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"080068795964"</f>
        <v>080068795964</v>
      </c>
      <c r="F3369" s="3">
        <v>45958</v>
      </c>
      <c r="G3369">
        <v>202607</v>
      </c>
      <c r="H3369" t="s">
        <v>79</v>
      </c>
      <c r="I3369" t="s">
        <v>80</v>
      </c>
      <c r="J3369" t="s">
        <v>91</v>
      </c>
      <c r="K3369" t="s">
        <v>78</v>
      </c>
      <c r="L3369" t="s">
        <v>206</v>
      </c>
      <c r="M3369" t="s">
        <v>207</v>
      </c>
      <c r="N3369" t="s">
        <v>3457</v>
      </c>
      <c r="O3369" t="s">
        <v>82</v>
      </c>
      <c r="P3369" t="str">
        <f>"4170066490                    "</f>
        <v xml:space="preserve">4170066490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22.36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70.959999999999994</v>
      </c>
      <c r="BM3369">
        <v>10.64</v>
      </c>
      <c r="BN3369">
        <v>81.599999999999994</v>
      </c>
      <c r="BO3369">
        <v>81.599999999999994</v>
      </c>
      <c r="BQ3369" t="s">
        <v>3458</v>
      </c>
      <c r="BR3369" t="s">
        <v>97</v>
      </c>
      <c r="BS3369" s="3">
        <v>45959</v>
      </c>
      <c r="BT3369" s="4">
        <v>0.42291666666666666</v>
      </c>
      <c r="BU3369" t="s">
        <v>658</v>
      </c>
      <c r="BV3369" t="s">
        <v>86</v>
      </c>
      <c r="BY3369">
        <v>1200</v>
      </c>
      <c r="CA3369" t="s">
        <v>211</v>
      </c>
      <c r="CC3369" t="s">
        <v>207</v>
      </c>
      <c r="CD3369">
        <v>7441</v>
      </c>
      <c r="CE3369" t="s">
        <v>147</v>
      </c>
      <c r="CF3369" s="3">
        <v>45960</v>
      </c>
      <c r="CI3369">
        <v>1</v>
      </c>
      <c r="CJ3369">
        <v>1</v>
      </c>
      <c r="CK3369">
        <v>21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"080068795998"</f>
        <v>080068795998</v>
      </c>
      <c r="F3370" s="3">
        <v>45958</v>
      </c>
      <c r="G3370">
        <v>202607</v>
      </c>
      <c r="H3370" t="s">
        <v>79</v>
      </c>
      <c r="I3370" t="s">
        <v>80</v>
      </c>
      <c r="J3370" t="s">
        <v>91</v>
      </c>
      <c r="K3370" t="s">
        <v>78</v>
      </c>
      <c r="L3370" t="s">
        <v>148</v>
      </c>
      <c r="M3370" t="s">
        <v>149</v>
      </c>
      <c r="N3370" t="s">
        <v>952</v>
      </c>
      <c r="O3370" t="s">
        <v>82</v>
      </c>
      <c r="P3370" t="str">
        <f>"4170066492                    "</f>
        <v xml:space="preserve">4170066492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17.46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55.42</v>
      </c>
      <c r="BM3370">
        <v>8.31</v>
      </c>
      <c r="BN3370">
        <v>63.73</v>
      </c>
      <c r="BO3370">
        <v>63.73</v>
      </c>
      <c r="BQ3370" t="s">
        <v>953</v>
      </c>
      <c r="BR3370" t="s">
        <v>97</v>
      </c>
      <c r="BS3370" s="3">
        <v>45959</v>
      </c>
      <c r="BT3370" s="4">
        <v>0.40277777777777779</v>
      </c>
      <c r="BU3370" t="s">
        <v>1645</v>
      </c>
      <c r="BV3370" t="s">
        <v>86</v>
      </c>
      <c r="BY3370">
        <v>1200</v>
      </c>
      <c r="CA3370" t="s">
        <v>1217</v>
      </c>
      <c r="CC3370" t="s">
        <v>149</v>
      </c>
      <c r="CD3370">
        <v>2091</v>
      </c>
      <c r="CE3370" t="s">
        <v>147</v>
      </c>
      <c r="CF3370" s="3">
        <v>45959</v>
      </c>
      <c r="CI3370">
        <v>1</v>
      </c>
      <c r="CJ3370">
        <v>1</v>
      </c>
      <c r="CK3370">
        <v>22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"080068796311"</f>
        <v>080068796311</v>
      </c>
      <c r="F3371" s="3">
        <v>45958</v>
      </c>
      <c r="G3371">
        <v>202607</v>
      </c>
      <c r="H3371" t="s">
        <v>79</v>
      </c>
      <c r="I3371" t="s">
        <v>80</v>
      </c>
      <c r="J3371" t="s">
        <v>91</v>
      </c>
      <c r="K3371" t="s">
        <v>78</v>
      </c>
      <c r="L3371" t="s">
        <v>79</v>
      </c>
      <c r="M3371" t="s">
        <v>80</v>
      </c>
      <c r="N3371" t="s">
        <v>3563</v>
      </c>
      <c r="O3371" t="s">
        <v>226</v>
      </c>
      <c r="P3371" t="str">
        <f>"4170066496                    "</f>
        <v xml:space="preserve">4170066496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17.47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3.4</v>
      </c>
      <c r="BK3371">
        <v>4</v>
      </c>
      <c r="BL3371">
        <v>55.44</v>
      </c>
      <c r="BM3371">
        <v>8.32</v>
      </c>
      <c r="BN3371">
        <v>63.76</v>
      </c>
      <c r="BO3371">
        <v>63.76</v>
      </c>
      <c r="BQ3371" t="s">
        <v>3564</v>
      </c>
      <c r="BR3371" t="s">
        <v>97</v>
      </c>
      <c r="BS3371" s="3">
        <v>45959</v>
      </c>
      <c r="BT3371" s="4">
        <v>0.44374999999999998</v>
      </c>
      <c r="BU3371" t="s">
        <v>2851</v>
      </c>
      <c r="BV3371" t="s">
        <v>86</v>
      </c>
      <c r="BY3371">
        <v>16965</v>
      </c>
      <c r="CA3371" t="s">
        <v>88</v>
      </c>
      <c r="CC3371" t="s">
        <v>80</v>
      </c>
      <c r="CD3371">
        <v>1600</v>
      </c>
      <c r="CE3371" t="s">
        <v>191</v>
      </c>
      <c r="CF3371" s="3">
        <v>45959</v>
      </c>
      <c r="CI3371">
        <v>1</v>
      </c>
      <c r="CJ3371">
        <v>1</v>
      </c>
      <c r="CK3371">
        <v>32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"080068796429"</f>
        <v>080068796429</v>
      </c>
      <c r="F3372" s="3">
        <v>45958</v>
      </c>
      <c r="G3372">
        <v>202607</v>
      </c>
      <c r="H3372" t="s">
        <v>79</v>
      </c>
      <c r="I3372" t="s">
        <v>80</v>
      </c>
      <c r="J3372" t="s">
        <v>91</v>
      </c>
      <c r="K3372" t="s">
        <v>78</v>
      </c>
      <c r="L3372" t="s">
        <v>168</v>
      </c>
      <c r="M3372" t="s">
        <v>169</v>
      </c>
      <c r="N3372" t="s">
        <v>3024</v>
      </c>
      <c r="O3372" t="s">
        <v>82</v>
      </c>
      <c r="P3372" t="str">
        <f>"4170066491                    "</f>
        <v xml:space="preserve">4170066491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22.36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70.959999999999994</v>
      </c>
      <c r="BM3372">
        <v>10.64</v>
      </c>
      <c r="BN3372">
        <v>81.599999999999994</v>
      </c>
      <c r="BO3372">
        <v>81.599999999999994</v>
      </c>
      <c r="BQ3372" t="s">
        <v>3025</v>
      </c>
      <c r="BR3372" t="s">
        <v>97</v>
      </c>
      <c r="BS3372" t="s">
        <v>2659</v>
      </c>
      <c r="BY3372">
        <v>1200</v>
      </c>
      <c r="CC3372" t="s">
        <v>169</v>
      </c>
      <c r="CD3372" s="5" t="s">
        <v>3565</v>
      </c>
      <c r="CE3372" t="s">
        <v>147</v>
      </c>
      <c r="CI3372">
        <v>1</v>
      </c>
      <c r="CJ3372" t="s">
        <v>2659</v>
      </c>
      <c r="CK3372">
        <v>21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"080068797405"</f>
        <v>080068797405</v>
      </c>
      <c r="F3373" s="3">
        <v>45958</v>
      </c>
      <c r="G3373">
        <v>202607</v>
      </c>
      <c r="H3373" t="s">
        <v>79</v>
      </c>
      <c r="I3373" t="s">
        <v>80</v>
      </c>
      <c r="J3373" t="s">
        <v>91</v>
      </c>
      <c r="K3373" t="s">
        <v>78</v>
      </c>
      <c r="L3373" t="s">
        <v>809</v>
      </c>
      <c r="M3373" t="s">
        <v>810</v>
      </c>
      <c r="N3373" t="s">
        <v>1353</v>
      </c>
      <c r="O3373" t="s">
        <v>82</v>
      </c>
      <c r="P3373" t="str">
        <f>"4170066507                    "</f>
        <v xml:space="preserve">4170066507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17.46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0.9</v>
      </c>
      <c r="BK3373">
        <v>1</v>
      </c>
      <c r="BL3373">
        <v>55.42</v>
      </c>
      <c r="BM3373">
        <v>8.31</v>
      </c>
      <c r="BN3373">
        <v>63.73</v>
      </c>
      <c r="BO3373">
        <v>63.73</v>
      </c>
      <c r="BQ3373" t="s">
        <v>1354</v>
      </c>
      <c r="BR3373" t="s">
        <v>97</v>
      </c>
      <c r="BS3373" s="3">
        <v>45959</v>
      </c>
      <c r="BT3373" s="4">
        <v>0.3527777777777778</v>
      </c>
      <c r="BU3373" t="s">
        <v>1355</v>
      </c>
      <c r="BV3373" t="s">
        <v>86</v>
      </c>
      <c r="BY3373">
        <v>4275</v>
      </c>
      <c r="CA3373" t="s">
        <v>1356</v>
      </c>
      <c r="CC3373" t="s">
        <v>810</v>
      </c>
      <c r="CD3373">
        <v>1724</v>
      </c>
      <c r="CE3373" t="s">
        <v>191</v>
      </c>
      <c r="CF3373" s="3">
        <v>45960</v>
      </c>
      <c r="CI3373">
        <v>1</v>
      </c>
      <c r="CJ3373">
        <v>1</v>
      </c>
      <c r="CK3373">
        <v>22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"080068797446"</f>
        <v>080068797446</v>
      </c>
      <c r="F3374" s="3">
        <v>45958</v>
      </c>
      <c r="G3374">
        <v>202607</v>
      </c>
      <c r="H3374" t="s">
        <v>79</v>
      </c>
      <c r="I3374" t="s">
        <v>80</v>
      </c>
      <c r="J3374" t="s">
        <v>91</v>
      </c>
      <c r="K3374" t="s">
        <v>78</v>
      </c>
      <c r="L3374" t="s">
        <v>333</v>
      </c>
      <c r="M3374" t="s">
        <v>334</v>
      </c>
      <c r="N3374" t="s">
        <v>1388</v>
      </c>
      <c r="O3374" t="s">
        <v>95</v>
      </c>
      <c r="P3374" t="str">
        <f>"4170066522                    "</f>
        <v xml:space="preserve">4170066522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73.569999999999993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2</v>
      </c>
      <c r="BI3374">
        <v>32</v>
      </c>
      <c r="BJ3374">
        <v>23.1</v>
      </c>
      <c r="BK3374">
        <v>32</v>
      </c>
      <c r="BL3374">
        <v>239.38</v>
      </c>
      <c r="BM3374">
        <v>35.909999999999997</v>
      </c>
      <c r="BN3374">
        <v>275.29000000000002</v>
      </c>
      <c r="BO3374">
        <v>275.29000000000002</v>
      </c>
      <c r="BQ3374" t="s">
        <v>1389</v>
      </c>
      <c r="BR3374" t="s">
        <v>97</v>
      </c>
      <c r="BS3374" s="3">
        <v>45960</v>
      </c>
      <c r="BT3374" s="4">
        <v>0.47013888888888888</v>
      </c>
      <c r="BU3374" t="s">
        <v>2413</v>
      </c>
      <c r="BV3374" t="s">
        <v>86</v>
      </c>
      <c r="BY3374">
        <v>57760</v>
      </c>
      <c r="CA3374" t="s">
        <v>142</v>
      </c>
      <c r="CC3374" t="s">
        <v>334</v>
      </c>
      <c r="CD3374">
        <v>6220</v>
      </c>
      <c r="CE3374" t="s">
        <v>2314</v>
      </c>
      <c r="CI3374">
        <v>3</v>
      </c>
      <c r="CJ3374">
        <v>2</v>
      </c>
      <c r="CK3374">
        <v>41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"080068797654"</f>
        <v>080068797654</v>
      </c>
      <c r="F3375" s="3">
        <v>45958</v>
      </c>
      <c r="G3375">
        <v>202607</v>
      </c>
      <c r="H3375" t="s">
        <v>79</v>
      </c>
      <c r="I3375" t="s">
        <v>80</v>
      </c>
      <c r="J3375" t="s">
        <v>91</v>
      </c>
      <c r="K3375" t="s">
        <v>78</v>
      </c>
      <c r="L3375" t="s">
        <v>168</v>
      </c>
      <c r="M3375" t="s">
        <v>169</v>
      </c>
      <c r="N3375" t="s">
        <v>873</v>
      </c>
      <c r="O3375" t="s">
        <v>95</v>
      </c>
      <c r="P3375" t="str">
        <f>"4170066506                    "</f>
        <v xml:space="preserve">4170066506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43.23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6</v>
      </c>
      <c r="BJ3375">
        <v>3.4</v>
      </c>
      <c r="BK3375">
        <v>6</v>
      </c>
      <c r="BL3375">
        <v>143.08000000000001</v>
      </c>
      <c r="BM3375">
        <v>21.46</v>
      </c>
      <c r="BN3375">
        <v>164.54</v>
      </c>
      <c r="BO3375">
        <v>164.54</v>
      </c>
      <c r="BQ3375" t="s">
        <v>874</v>
      </c>
      <c r="BR3375" t="s">
        <v>97</v>
      </c>
      <c r="BS3375" s="3">
        <v>45959</v>
      </c>
      <c r="BT3375" s="4">
        <v>0.59027777777777779</v>
      </c>
      <c r="BU3375" t="s">
        <v>1723</v>
      </c>
      <c r="BV3375" t="s">
        <v>86</v>
      </c>
      <c r="BY3375">
        <v>16965</v>
      </c>
      <c r="CA3375" s="5" t="s">
        <v>2424</v>
      </c>
      <c r="CC3375" t="s">
        <v>169</v>
      </c>
      <c r="CD3375" s="5" t="s">
        <v>877</v>
      </c>
      <c r="CE3375" t="s">
        <v>191</v>
      </c>
      <c r="CF3375" s="3">
        <v>45959</v>
      </c>
      <c r="CI3375">
        <v>1</v>
      </c>
      <c r="CJ3375">
        <v>1</v>
      </c>
      <c r="CK3375">
        <v>41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"080068797718"</f>
        <v>080068797718</v>
      </c>
      <c r="F3376" s="3">
        <v>45958</v>
      </c>
      <c r="G3376">
        <v>202607</v>
      </c>
      <c r="H3376" t="s">
        <v>79</v>
      </c>
      <c r="I3376" t="s">
        <v>80</v>
      </c>
      <c r="J3376" t="s">
        <v>91</v>
      </c>
      <c r="K3376" t="s">
        <v>78</v>
      </c>
      <c r="L3376" t="s">
        <v>809</v>
      </c>
      <c r="M3376" t="s">
        <v>810</v>
      </c>
      <c r="N3376" t="s">
        <v>1353</v>
      </c>
      <c r="O3376" t="s">
        <v>82</v>
      </c>
      <c r="P3376" t="str">
        <f>"4170066504                    "</f>
        <v xml:space="preserve">4170066504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17.46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55.42</v>
      </c>
      <c r="BM3376">
        <v>8.31</v>
      </c>
      <c r="BN3376">
        <v>63.73</v>
      </c>
      <c r="BO3376">
        <v>63.73</v>
      </c>
      <c r="BQ3376" t="s">
        <v>1354</v>
      </c>
      <c r="BR3376" t="s">
        <v>97</v>
      </c>
      <c r="BS3376" s="3">
        <v>45959</v>
      </c>
      <c r="BT3376" s="4">
        <v>0.34930555555555554</v>
      </c>
      <c r="BU3376" t="s">
        <v>1355</v>
      </c>
      <c r="BV3376" t="s">
        <v>86</v>
      </c>
      <c r="BY3376">
        <v>1200</v>
      </c>
      <c r="CA3376" t="s">
        <v>1356</v>
      </c>
      <c r="CC3376" t="s">
        <v>810</v>
      </c>
      <c r="CD3376">
        <v>1724</v>
      </c>
      <c r="CE3376" t="s">
        <v>147</v>
      </c>
      <c r="CF3376" s="3">
        <v>45960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"080068797890"</f>
        <v>080068797890</v>
      </c>
      <c r="F3377" s="3">
        <v>45958</v>
      </c>
      <c r="G3377">
        <v>202607</v>
      </c>
      <c r="H3377" t="s">
        <v>79</v>
      </c>
      <c r="I3377" t="s">
        <v>80</v>
      </c>
      <c r="J3377" t="s">
        <v>91</v>
      </c>
      <c r="K3377" t="s">
        <v>78</v>
      </c>
      <c r="L3377" t="s">
        <v>148</v>
      </c>
      <c r="M3377" t="s">
        <v>149</v>
      </c>
      <c r="N3377" t="s">
        <v>3267</v>
      </c>
      <c r="O3377" t="s">
        <v>95</v>
      </c>
      <c r="P3377" t="str">
        <f>"4170066509                    "</f>
        <v xml:space="preserve">4170066509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81.14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46</v>
      </c>
      <c r="BJ3377">
        <v>63.6</v>
      </c>
      <c r="BK3377">
        <v>64</v>
      </c>
      <c r="BL3377">
        <v>263.41000000000003</v>
      </c>
      <c r="BM3377">
        <v>39.51</v>
      </c>
      <c r="BN3377">
        <v>302.92</v>
      </c>
      <c r="BO3377">
        <v>302.92</v>
      </c>
      <c r="BQ3377" t="s">
        <v>3268</v>
      </c>
      <c r="BR3377" t="s">
        <v>97</v>
      </c>
      <c r="BS3377" s="3">
        <v>45959</v>
      </c>
      <c r="BT3377" s="4">
        <v>0.375</v>
      </c>
      <c r="BU3377" t="s">
        <v>3219</v>
      </c>
      <c r="BV3377" t="s">
        <v>86</v>
      </c>
      <c r="BY3377">
        <v>318240</v>
      </c>
      <c r="CC3377" t="s">
        <v>149</v>
      </c>
      <c r="CD3377">
        <v>2000</v>
      </c>
      <c r="CE3377" t="s">
        <v>2314</v>
      </c>
      <c r="CF3377" s="3">
        <v>45960</v>
      </c>
      <c r="CI3377">
        <v>1</v>
      </c>
      <c r="CJ3377">
        <v>1</v>
      </c>
      <c r="CK3377">
        <v>42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"080068798072"</f>
        <v>080068798072</v>
      </c>
      <c r="F3378" s="3">
        <v>45958</v>
      </c>
      <c r="G3378">
        <v>202607</v>
      </c>
      <c r="H3378" t="s">
        <v>79</v>
      </c>
      <c r="I3378" t="s">
        <v>80</v>
      </c>
      <c r="J3378" t="s">
        <v>91</v>
      </c>
      <c r="K3378" t="s">
        <v>78</v>
      </c>
      <c r="L3378" t="s">
        <v>79</v>
      </c>
      <c r="M3378" t="s">
        <v>80</v>
      </c>
      <c r="N3378" t="s">
        <v>163</v>
      </c>
      <c r="O3378" t="s">
        <v>82</v>
      </c>
      <c r="P3378" t="str">
        <f>"4170066517                    "</f>
        <v xml:space="preserve">4170066517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17.46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55.42</v>
      </c>
      <c r="BM3378">
        <v>8.31</v>
      </c>
      <c r="BN3378">
        <v>63.73</v>
      </c>
      <c r="BO3378">
        <v>63.73</v>
      </c>
      <c r="BQ3378" t="s">
        <v>164</v>
      </c>
      <c r="BR3378" t="s">
        <v>97</v>
      </c>
      <c r="BS3378" s="3">
        <v>45959</v>
      </c>
      <c r="BT3378" s="4">
        <v>0.35833333333333334</v>
      </c>
      <c r="BU3378" t="s">
        <v>165</v>
      </c>
      <c r="BV3378" t="s">
        <v>86</v>
      </c>
      <c r="BY3378">
        <v>1200</v>
      </c>
      <c r="CA3378" t="s">
        <v>166</v>
      </c>
      <c r="CC3378" t="s">
        <v>80</v>
      </c>
      <c r="CD3378">
        <v>1600</v>
      </c>
      <c r="CE3378" t="s">
        <v>147</v>
      </c>
      <c r="CF3378" s="3">
        <v>45959</v>
      </c>
      <c r="CI3378">
        <v>1</v>
      </c>
      <c r="CJ3378">
        <v>1</v>
      </c>
      <c r="CK3378">
        <v>22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"080068798126"</f>
        <v>080068798126</v>
      </c>
      <c r="F3379" s="3">
        <v>45958</v>
      </c>
      <c r="G3379">
        <v>202607</v>
      </c>
      <c r="H3379" t="s">
        <v>79</v>
      </c>
      <c r="I3379" t="s">
        <v>80</v>
      </c>
      <c r="J3379" t="s">
        <v>91</v>
      </c>
      <c r="K3379" t="s">
        <v>78</v>
      </c>
      <c r="L3379" t="s">
        <v>195</v>
      </c>
      <c r="M3379" t="s">
        <v>196</v>
      </c>
      <c r="N3379" t="s">
        <v>3566</v>
      </c>
      <c r="O3379" t="s">
        <v>82</v>
      </c>
      <c r="P3379" t="str">
        <f>"4170066501                    "</f>
        <v xml:space="preserve">4170066501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43.31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2</v>
      </c>
      <c r="BJ3379">
        <v>1.4</v>
      </c>
      <c r="BK3379">
        <v>2</v>
      </c>
      <c r="BL3379">
        <v>137.47</v>
      </c>
      <c r="BM3379">
        <v>20.62</v>
      </c>
      <c r="BN3379">
        <v>158.09</v>
      </c>
      <c r="BO3379">
        <v>158.09</v>
      </c>
      <c r="BQ3379" t="s">
        <v>3567</v>
      </c>
      <c r="BR3379" t="s">
        <v>97</v>
      </c>
      <c r="BS3379" s="3">
        <v>45959</v>
      </c>
      <c r="BT3379" s="4">
        <v>0.43402777777777779</v>
      </c>
      <c r="BU3379" t="s">
        <v>3568</v>
      </c>
      <c r="BV3379" t="s">
        <v>86</v>
      </c>
      <c r="BY3379">
        <v>7200</v>
      </c>
      <c r="CA3379" t="s">
        <v>200</v>
      </c>
      <c r="CC3379" t="s">
        <v>196</v>
      </c>
      <c r="CD3379">
        <v>1911</v>
      </c>
      <c r="CE3379" t="s">
        <v>107</v>
      </c>
      <c r="CF3379" s="3">
        <v>45960</v>
      </c>
      <c r="CI3379">
        <v>1</v>
      </c>
      <c r="CJ3379">
        <v>1</v>
      </c>
      <c r="CK3379">
        <v>23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"080068798190"</f>
        <v>080068798190</v>
      </c>
      <c r="F3380" s="3">
        <v>45958</v>
      </c>
      <c r="G3380">
        <v>202607</v>
      </c>
      <c r="H3380" t="s">
        <v>79</v>
      </c>
      <c r="I3380" t="s">
        <v>80</v>
      </c>
      <c r="J3380" t="s">
        <v>91</v>
      </c>
      <c r="K3380" t="s">
        <v>78</v>
      </c>
      <c r="L3380" t="s">
        <v>985</v>
      </c>
      <c r="M3380" t="s">
        <v>986</v>
      </c>
      <c r="N3380" t="s">
        <v>987</v>
      </c>
      <c r="O3380" t="s">
        <v>95</v>
      </c>
      <c r="P3380" t="str">
        <f>"4170066519                    "</f>
        <v xml:space="preserve">4170066519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46.8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10</v>
      </c>
      <c r="BJ3380">
        <v>16.2</v>
      </c>
      <c r="BK3380">
        <v>17</v>
      </c>
      <c r="BL3380">
        <v>154.41</v>
      </c>
      <c r="BM3380">
        <v>23.16</v>
      </c>
      <c r="BN3380">
        <v>177.57</v>
      </c>
      <c r="BO3380">
        <v>177.57</v>
      </c>
      <c r="BQ3380" t="s">
        <v>988</v>
      </c>
      <c r="BR3380" t="s">
        <v>97</v>
      </c>
      <c r="BS3380" t="s">
        <v>2659</v>
      </c>
      <c r="BY3380">
        <v>80800</v>
      </c>
      <c r="CC3380" t="s">
        <v>986</v>
      </c>
      <c r="CD3380">
        <v>7600</v>
      </c>
      <c r="CE3380" t="s">
        <v>2314</v>
      </c>
      <c r="CI3380">
        <v>3</v>
      </c>
      <c r="CJ3380" t="s">
        <v>2659</v>
      </c>
      <c r="CK3380">
        <v>41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"080068798233"</f>
        <v>080068798233</v>
      </c>
      <c r="F3381" s="3">
        <v>45958</v>
      </c>
      <c r="G3381">
        <v>202607</v>
      </c>
      <c r="H3381" t="s">
        <v>79</v>
      </c>
      <c r="I3381" t="s">
        <v>80</v>
      </c>
      <c r="J3381" t="s">
        <v>91</v>
      </c>
      <c r="K3381" t="s">
        <v>78</v>
      </c>
      <c r="L3381" t="s">
        <v>206</v>
      </c>
      <c r="M3381" t="s">
        <v>207</v>
      </c>
      <c r="N3381" t="s">
        <v>3569</v>
      </c>
      <c r="O3381" t="s">
        <v>82</v>
      </c>
      <c r="P3381" t="str">
        <f>"4170066520                    "</f>
        <v xml:space="preserve">4170066520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145.21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13</v>
      </c>
      <c r="BJ3381">
        <v>11.6</v>
      </c>
      <c r="BK3381">
        <v>13</v>
      </c>
      <c r="BL3381">
        <v>460.89</v>
      </c>
      <c r="BM3381">
        <v>69.13</v>
      </c>
      <c r="BN3381">
        <v>530.02</v>
      </c>
      <c r="BO3381">
        <v>530.02</v>
      </c>
      <c r="BQ3381" t="s">
        <v>3570</v>
      </c>
      <c r="BR3381" t="s">
        <v>97</v>
      </c>
      <c r="BS3381" s="3">
        <v>45959</v>
      </c>
      <c r="BT3381" s="4">
        <v>0.35972222222222222</v>
      </c>
      <c r="BU3381" t="s">
        <v>3571</v>
      </c>
      <c r="BV3381" t="s">
        <v>86</v>
      </c>
      <c r="BY3381">
        <v>57760</v>
      </c>
      <c r="CA3381" t="s">
        <v>1173</v>
      </c>
      <c r="CC3381" t="s">
        <v>207</v>
      </c>
      <c r="CD3381">
        <v>7764</v>
      </c>
      <c r="CE3381" t="s">
        <v>2314</v>
      </c>
      <c r="CF3381" s="3">
        <v>45960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"080068798267"</f>
        <v>080068798267</v>
      </c>
      <c r="F3382" s="3">
        <v>45958</v>
      </c>
      <c r="G3382">
        <v>202607</v>
      </c>
      <c r="H3382" t="s">
        <v>79</v>
      </c>
      <c r="I3382" t="s">
        <v>80</v>
      </c>
      <c r="J3382" t="s">
        <v>91</v>
      </c>
      <c r="K3382" t="s">
        <v>78</v>
      </c>
      <c r="L3382" t="s">
        <v>79</v>
      </c>
      <c r="M3382" t="s">
        <v>80</v>
      </c>
      <c r="N3382" t="s">
        <v>577</v>
      </c>
      <c r="O3382" t="s">
        <v>95</v>
      </c>
      <c r="P3382" t="str">
        <f>"4170066508                    "</f>
        <v xml:space="preserve">4170066508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34.33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10</v>
      </c>
      <c r="BJ3382">
        <v>15.4</v>
      </c>
      <c r="BK3382">
        <v>16</v>
      </c>
      <c r="BL3382">
        <v>114.84</v>
      </c>
      <c r="BM3382">
        <v>17.23</v>
      </c>
      <c r="BN3382">
        <v>132.07</v>
      </c>
      <c r="BO3382">
        <v>132.07</v>
      </c>
      <c r="BQ3382" t="s">
        <v>578</v>
      </c>
      <c r="BR3382" t="s">
        <v>97</v>
      </c>
      <c r="BS3382" s="3">
        <v>45959</v>
      </c>
      <c r="BT3382" s="4">
        <v>0.44861111111111113</v>
      </c>
      <c r="BU3382" t="s">
        <v>3572</v>
      </c>
      <c r="BV3382" t="s">
        <v>86</v>
      </c>
      <c r="BY3382">
        <v>76880</v>
      </c>
      <c r="CA3382" t="s">
        <v>1368</v>
      </c>
      <c r="CC3382" t="s">
        <v>80</v>
      </c>
      <c r="CD3382">
        <v>1619</v>
      </c>
      <c r="CE3382" t="s">
        <v>191</v>
      </c>
      <c r="CF3382" s="3">
        <v>45959</v>
      </c>
      <c r="CI3382">
        <v>1</v>
      </c>
      <c r="CJ3382">
        <v>1</v>
      </c>
      <c r="CK3382">
        <v>42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"080068798330"</f>
        <v>080068798330</v>
      </c>
      <c r="F3383" s="3">
        <v>45958</v>
      </c>
      <c r="G3383">
        <v>202607</v>
      </c>
      <c r="H3383" t="s">
        <v>79</v>
      </c>
      <c r="I3383" t="s">
        <v>80</v>
      </c>
      <c r="J3383" t="s">
        <v>91</v>
      </c>
      <c r="K3383" t="s">
        <v>78</v>
      </c>
      <c r="L3383" t="s">
        <v>590</v>
      </c>
      <c r="M3383" t="s">
        <v>591</v>
      </c>
      <c r="N3383" t="s">
        <v>592</v>
      </c>
      <c r="O3383" t="s">
        <v>82</v>
      </c>
      <c r="P3383" t="str">
        <f>"4170066510                    "</f>
        <v xml:space="preserve">4170066510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43.31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</v>
      </c>
      <c r="BJ3383">
        <v>1.7</v>
      </c>
      <c r="BK3383">
        <v>2</v>
      </c>
      <c r="BL3383">
        <v>137.47</v>
      </c>
      <c r="BM3383">
        <v>20.62</v>
      </c>
      <c r="BN3383">
        <v>158.09</v>
      </c>
      <c r="BO3383">
        <v>158.09</v>
      </c>
      <c r="BQ3383" t="s">
        <v>593</v>
      </c>
      <c r="BR3383" t="s">
        <v>97</v>
      </c>
      <c r="BS3383" s="3">
        <v>45959</v>
      </c>
      <c r="BT3383" s="4">
        <v>0.47222222222222221</v>
      </c>
      <c r="BU3383" t="s">
        <v>3573</v>
      </c>
      <c r="BV3383" t="s">
        <v>86</v>
      </c>
      <c r="BY3383">
        <v>8550</v>
      </c>
      <c r="CA3383" t="s">
        <v>3574</v>
      </c>
      <c r="CC3383" t="s">
        <v>591</v>
      </c>
      <c r="CD3383">
        <v>5257</v>
      </c>
      <c r="CE3383" t="s">
        <v>107</v>
      </c>
      <c r="CF3383" s="3">
        <v>45960</v>
      </c>
      <c r="CI3383">
        <v>1</v>
      </c>
      <c r="CJ3383">
        <v>1</v>
      </c>
      <c r="CK3383">
        <v>23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"080068798343"</f>
        <v>080068798343</v>
      </c>
      <c r="F3384" s="3">
        <v>45958</v>
      </c>
      <c r="G3384">
        <v>202607</v>
      </c>
      <c r="H3384" t="s">
        <v>79</v>
      </c>
      <c r="I3384" t="s">
        <v>80</v>
      </c>
      <c r="J3384" t="s">
        <v>91</v>
      </c>
      <c r="K3384" t="s">
        <v>78</v>
      </c>
      <c r="L3384" t="s">
        <v>148</v>
      </c>
      <c r="M3384" t="s">
        <v>149</v>
      </c>
      <c r="N3384" t="s">
        <v>2585</v>
      </c>
      <c r="O3384" t="s">
        <v>82</v>
      </c>
      <c r="P3384" t="str">
        <f>"4170066523                    "</f>
        <v xml:space="preserve">4170066523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17.46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6</v>
      </c>
      <c r="BJ3384">
        <v>7.2</v>
      </c>
      <c r="BK3384">
        <v>8</v>
      </c>
      <c r="BL3384">
        <v>55.42</v>
      </c>
      <c r="BM3384">
        <v>8.31</v>
      </c>
      <c r="BN3384">
        <v>63.73</v>
      </c>
      <c r="BO3384">
        <v>63.73</v>
      </c>
      <c r="BQ3384" t="s">
        <v>2586</v>
      </c>
      <c r="BR3384" t="s">
        <v>97</v>
      </c>
      <c r="BS3384" s="3">
        <v>45959</v>
      </c>
      <c r="BT3384" s="4">
        <v>0.4201388888888889</v>
      </c>
      <c r="BU3384" t="s">
        <v>2587</v>
      </c>
      <c r="BV3384" t="s">
        <v>86</v>
      </c>
      <c r="BY3384">
        <v>36000</v>
      </c>
      <c r="CA3384" t="s">
        <v>1463</v>
      </c>
      <c r="CC3384" t="s">
        <v>149</v>
      </c>
      <c r="CD3384">
        <v>2013</v>
      </c>
      <c r="CE3384" t="s">
        <v>191</v>
      </c>
      <c r="CF3384" s="3">
        <v>45959</v>
      </c>
      <c r="CI3384">
        <v>1</v>
      </c>
      <c r="CJ3384">
        <v>1</v>
      </c>
      <c r="CK3384">
        <v>22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"080068798353"</f>
        <v>080068798353</v>
      </c>
      <c r="F3385" s="3">
        <v>45958</v>
      </c>
      <c r="G3385">
        <v>202607</v>
      </c>
      <c r="H3385" t="s">
        <v>79</v>
      </c>
      <c r="I3385" t="s">
        <v>80</v>
      </c>
      <c r="J3385" t="s">
        <v>91</v>
      </c>
      <c r="K3385" t="s">
        <v>78</v>
      </c>
      <c r="L3385" t="s">
        <v>1008</v>
      </c>
      <c r="M3385" t="s">
        <v>1009</v>
      </c>
      <c r="N3385" t="s">
        <v>3575</v>
      </c>
      <c r="O3385" t="s">
        <v>226</v>
      </c>
      <c r="P3385" t="str">
        <f>"4170066503                    "</f>
        <v xml:space="preserve">4170066503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69.180000000000007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16.739999999999998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4</v>
      </c>
      <c r="BJ3385">
        <v>1.6</v>
      </c>
      <c r="BK3385">
        <v>4</v>
      </c>
      <c r="BL3385">
        <v>236.31</v>
      </c>
      <c r="BM3385">
        <v>35.450000000000003</v>
      </c>
      <c r="BN3385">
        <v>271.76</v>
      </c>
      <c r="BO3385">
        <v>271.76</v>
      </c>
      <c r="BQ3385" t="s">
        <v>3576</v>
      </c>
      <c r="BR3385" t="s">
        <v>97</v>
      </c>
      <c r="BS3385" s="3">
        <v>45959</v>
      </c>
      <c r="BT3385" s="4">
        <v>0.33333333333333331</v>
      </c>
      <c r="BU3385" t="s">
        <v>3577</v>
      </c>
      <c r="BV3385" t="s">
        <v>86</v>
      </c>
      <c r="BY3385">
        <v>8060</v>
      </c>
      <c r="BZ3385" t="s">
        <v>30</v>
      </c>
      <c r="CA3385" t="s">
        <v>2194</v>
      </c>
      <c r="CC3385" t="s">
        <v>1009</v>
      </c>
      <c r="CD3385">
        <v>1759</v>
      </c>
      <c r="CE3385" t="s">
        <v>107</v>
      </c>
      <c r="CF3385" s="3">
        <v>45960</v>
      </c>
      <c r="CI3385">
        <v>1</v>
      </c>
      <c r="CJ3385">
        <v>1</v>
      </c>
      <c r="CK3385">
        <v>34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"080068798373"</f>
        <v>080068798373</v>
      </c>
      <c r="F3386" s="3">
        <v>45958</v>
      </c>
      <c r="G3386">
        <v>202607</v>
      </c>
      <c r="H3386" t="s">
        <v>79</v>
      </c>
      <c r="I3386" t="s">
        <v>80</v>
      </c>
      <c r="J3386" t="s">
        <v>91</v>
      </c>
      <c r="K3386" t="s">
        <v>78</v>
      </c>
      <c r="L3386" t="s">
        <v>605</v>
      </c>
      <c r="M3386" t="s">
        <v>606</v>
      </c>
      <c r="N3386" t="s">
        <v>2098</v>
      </c>
      <c r="O3386" t="s">
        <v>82</v>
      </c>
      <c r="P3386" t="str">
        <f>"4170066513                    "</f>
        <v xml:space="preserve">4170066513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62.87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3</v>
      </c>
      <c r="BJ3386">
        <v>1.1000000000000001</v>
      </c>
      <c r="BK3386">
        <v>3</v>
      </c>
      <c r="BL3386">
        <v>199.55</v>
      </c>
      <c r="BM3386">
        <v>29.93</v>
      </c>
      <c r="BN3386">
        <v>229.48</v>
      </c>
      <c r="BO3386">
        <v>229.48</v>
      </c>
      <c r="BQ3386" t="s">
        <v>2099</v>
      </c>
      <c r="BR3386" t="s">
        <v>97</v>
      </c>
      <c r="BS3386" s="3">
        <v>45959</v>
      </c>
      <c r="BT3386" s="4">
        <v>0.36458333333333331</v>
      </c>
      <c r="BU3386" t="s">
        <v>3578</v>
      </c>
      <c r="BV3386" t="s">
        <v>86</v>
      </c>
      <c r="BY3386">
        <v>5500</v>
      </c>
      <c r="CA3386" t="s">
        <v>1143</v>
      </c>
      <c r="CC3386" t="s">
        <v>606</v>
      </c>
      <c r="CD3386">
        <v>1947</v>
      </c>
      <c r="CE3386" t="s">
        <v>107</v>
      </c>
      <c r="CF3386" s="3">
        <v>45960</v>
      </c>
      <c r="CI3386">
        <v>1</v>
      </c>
      <c r="CJ3386">
        <v>1</v>
      </c>
      <c r="CK3386">
        <v>23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"080068798534"</f>
        <v>080068798534</v>
      </c>
      <c r="F3387" s="3">
        <v>45958</v>
      </c>
      <c r="G3387">
        <v>202607</v>
      </c>
      <c r="H3387" t="s">
        <v>79</v>
      </c>
      <c r="I3387" t="s">
        <v>80</v>
      </c>
      <c r="J3387" t="s">
        <v>91</v>
      </c>
      <c r="K3387" t="s">
        <v>78</v>
      </c>
      <c r="L3387" t="s">
        <v>453</v>
      </c>
      <c r="M3387" t="s">
        <v>454</v>
      </c>
      <c r="N3387" t="s">
        <v>665</v>
      </c>
      <c r="O3387" t="s">
        <v>82</v>
      </c>
      <c r="P3387" t="str">
        <f>"4170066518                    "</f>
        <v xml:space="preserve">4170066518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83.78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7.4</v>
      </c>
      <c r="BK3387">
        <v>7.5</v>
      </c>
      <c r="BL3387">
        <v>265.92</v>
      </c>
      <c r="BM3387">
        <v>39.89</v>
      </c>
      <c r="BN3387">
        <v>305.81</v>
      </c>
      <c r="BO3387">
        <v>305.81</v>
      </c>
      <c r="BQ3387" t="s">
        <v>666</v>
      </c>
      <c r="BR3387" t="s">
        <v>97</v>
      </c>
      <c r="BS3387" s="3">
        <v>45959</v>
      </c>
      <c r="BT3387" s="4">
        <v>0.67847222222222225</v>
      </c>
      <c r="BU3387" t="s">
        <v>667</v>
      </c>
      <c r="BV3387" t="s">
        <v>90</v>
      </c>
      <c r="BY3387">
        <v>36800</v>
      </c>
      <c r="CA3387" t="s">
        <v>742</v>
      </c>
      <c r="CC3387" t="s">
        <v>454</v>
      </c>
      <c r="CD3387">
        <v>3610</v>
      </c>
      <c r="CE3387" t="s">
        <v>191</v>
      </c>
      <c r="CF3387" s="3">
        <v>45959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"080068798868"</f>
        <v>080068798868</v>
      </c>
      <c r="F3388" s="3">
        <v>45958</v>
      </c>
      <c r="G3388">
        <v>202607</v>
      </c>
      <c r="H3388" t="s">
        <v>79</v>
      </c>
      <c r="I3388" t="s">
        <v>80</v>
      </c>
      <c r="J3388" t="s">
        <v>91</v>
      </c>
      <c r="K3388" t="s">
        <v>78</v>
      </c>
      <c r="L3388" t="s">
        <v>763</v>
      </c>
      <c r="M3388" t="s">
        <v>764</v>
      </c>
      <c r="N3388" t="s">
        <v>765</v>
      </c>
      <c r="O3388" t="s">
        <v>82</v>
      </c>
      <c r="P3388" t="str">
        <f>"4170066528                    "</f>
        <v xml:space="preserve">4170066528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43.31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137.47</v>
      </c>
      <c r="BM3388">
        <v>20.62</v>
      </c>
      <c r="BN3388">
        <v>158.09</v>
      </c>
      <c r="BO3388">
        <v>158.09</v>
      </c>
      <c r="BQ3388" t="s">
        <v>766</v>
      </c>
      <c r="BR3388" t="s">
        <v>97</v>
      </c>
      <c r="BS3388" s="3">
        <v>45959</v>
      </c>
      <c r="BT3388" s="4">
        <v>0.54652777777777772</v>
      </c>
      <c r="BU3388" t="s">
        <v>1195</v>
      </c>
      <c r="BV3388" t="s">
        <v>90</v>
      </c>
      <c r="BY3388">
        <v>1200</v>
      </c>
      <c r="CA3388" t="s">
        <v>768</v>
      </c>
      <c r="CC3388" t="s">
        <v>764</v>
      </c>
      <c r="CD3388">
        <v>2531</v>
      </c>
      <c r="CE3388" t="s">
        <v>147</v>
      </c>
      <c r="CF3388" s="3">
        <v>45960</v>
      </c>
      <c r="CI3388">
        <v>1</v>
      </c>
      <c r="CJ3388">
        <v>1</v>
      </c>
      <c r="CK3388">
        <v>23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"080068798891"</f>
        <v>080068798891</v>
      </c>
      <c r="F3389" s="3">
        <v>45958</v>
      </c>
      <c r="G3389">
        <v>202607</v>
      </c>
      <c r="H3389" t="s">
        <v>79</v>
      </c>
      <c r="I3389" t="s">
        <v>80</v>
      </c>
      <c r="J3389" t="s">
        <v>91</v>
      </c>
      <c r="K3389" t="s">
        <v>78</v>
      </c>
      <c r="L3389" t="s">
        <v>79</v>
      </c>
      <c r="M3389" t="s">
        <v>80</v>
      </c>
      <c r="N3389" t="s">
        <v>577</v>
      </c>
      <c r="O3389" t="s">
        <v>82</v>
      </c>
      <c r="P3389" t="str">
        <f>"4170066534                    "</f>
        <v xml:space="preserve">4170066534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17.46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55.42</v>
      </c>
      <c r="BM3389">
        <v>8.31</v>
      </c>
      <c r="BN3389">
        <v>63.73</v>
      </c>
      <c r="BO3389">
        <v>63.73</v>
      </c>
      <c r="BQ3389" t="s">
        <v>578</v>
      </c>
      <c r="BR3389" t="s">
        <v>97</v>
      </c>
      <c r="BS3389" s="3">
        <v>45959</v>
      </c>
      <c r="BT3389" s="4">
        <v>0.43194444444444446</v>
      </c>
      <c r="BU3389" t="s">
        <v>3579</v>
      </c>
      <c r="BV3389" t="s">
        <v>86</v>
      </c>
      <c r="BY3389">
        <v>1200</v>
      </c>
      <c r="CA3389" t="s">
        <v>1957</v>
      </c>
      <c r="CC3389" t="s">
        <v>80</v>
      </c>
      <c r="CD3389">
        <v>1619</v>
      </c>
      <c r="CE3389" t="s">
        <v>147</v>
      </c>
      <c r="CF3389" s="3">
        <v>45960</v>
      </c>
      <c r="CI3389">
        <v>1</v>
      </c>
      <c r="CJ3389">
        <v>1</v>
      </c>
      <c r="CK3389">
        <v>22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"080068798961"</f>
        <v>080068798961</v>
      </c>
      <c r="F3390" s="3">
        <v>45958</v>
      </c>
      <c r="G3390">
        <v>202607</v>
      </c>
      <c r="H3390" t="s">
        <v>79</v>
      </c>
      <c r="I3390" t="s">
        <v>80</v>
      </c>
      <c r="J3390" t="s">
        <v>91</v>
      </c>
      <c r="K3390" t="s">
        <v>78</v>
      </c>
      <c r="L3390" t="s">
        <v>1095</v>
      </c>
      <c r="M3390" t="s">
        <v>1096</v>
      </c>
      <c r="N3390" t="s">
        <v>1197</v>
      </c>
      <c r="O3390" t="s">
        <v>82</v>
      </c>
      <c r="P3390" t="str">
        <f>"4170066516                    "</f>
        <v xml:space="preserve">4170066516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131.33000000000001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4</v>
      </c>
      <c r="BJ3390">
        <v>6.5</v>
      </c>
      <c r="BK3390">
        <v>6.5</v>
      </c>
      <c r="BL3390">
        <v>416.83</v>
      </c>
      <c r="BM3390">
        <v>62.52</v>
      </c>
      <c r="BN3390">
        <v>479.35</v>
      </c>
      <c r="BO3390">
        <v>479.35</v>
      </c>
      <c r="BQ3390" t="s">
        <v>1198</v>
      </c>
      <c r="BR3390" t="s">
        <v>97</v>
      </c>
      <c r="BS3390" s="3">
        <v>45959</v>
      </c>
      <c r="BT3390" s="4">
        <v>0.43402777777777779</v>
      </c>
      <c r="BU3390" t="s">
        <v>3417</v>
      </c>
      <c r="BV3390" t="s">
        <v>86</v>
      </c>
      <c r="BY3390">
        <v>32256</v>
      </c>
      <c r="CA3390" t="s">
        <v>3076</v>
      </c>
      <c r="CC3390" t="s">
        <v>1096</v>
      </c>
      <c r="CD3390">
        <v>2302</v>
      </c>
      <c r="CE3390" t="s">
        <v>107</v>
      </c>
      <c r="CF3390" s="3">
        <v>45960</v>
      </c>
      <c r="CI3390">
        <v>1</v>
      </c>
      <c r="CJ3390">
        <v>1</v>
      </c>
      <c r="CK3390">
        <v>23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"080068799004"</f>
        <v>080068799004</v>
      </c>
      <c r="F3391" s="3">
        <v>45958</v>
      </c>
      <c r="G3391">
        <v>202607</v>
      </c>
      <c r="H3391" t="s">
        <v>79</v>
      </c>
      <c r="I3391" t="s">
        <v>80</v>
      </c>
      <c r="J3391" t="s">
        <v>91</v>
      </c>
      <c r="K3391" t="s">
        <v>78</v>
      </c>
      <c r="L3391" t="s">
        <v>453</v>
      </c>
      <c r="M3391" t="s">
        <v>454</v>
      </c>
      <c r="N3391" t="s">
        <v>3580</v>
      </c>
      <c r="O3391" t="s">
        <v>82</v>
      </c>
      <c r="P3391" t="str">
        <f>"4170066527                    "</f>
        <v xml:space="preserve">4170066527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22.36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70.959999999999994</v>
      </c>
      <c r="BM3391">
        <v>10.64</v>
      </c>
      <c r="BN3391">
        <v>81.599999999999994</v>
      </c>
      <c r="BO3391">
        <v>81.599999999999994</v>
      </c>
      <c r="BQ3391" t="s">
        <v>3581</v>
      </c>
      <c r="BR3391" t="s">
        <v>97</v>
      </c>
      <c r="BS3391" s="3">
        <v>45959</v>
      </c>
      <c r="BT3391" s="4">
        <v>0.41666666666666669</v>
      </c>
      <c r="BU3391" t="s">
        <v>3582</v>
      </c>
      <c r="BV3391" t="s">
        <v>86</v>
      </c>
      <c r="BY3391">
        <v>1200</v>
      </c>
      <c r="CA3391" t="s">
        <v>742</v>
      </c>
      <c r="CC3391" t="s">
        <v>454</v>
      </c>
      <c r="CD3391">
        <v>3610</v>
      </c>
      <c r="CE3391" t="s">
        <v>147</v>
      </c>
      <c r="CF3391" s="3">
        <v>45959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"080068799036"</f>
        <v>080068799036</v>
      </c>
      <c r="F3392" s="3">
        <v>45958</v>
      </c>
      <c r="G3392">
        <v>202607</v>
      </c>
      <c r="H3392" t="s">
        <v>79</v>
      </c>
      <c r="I3392" t="s">
        <v>80</v>
      </c>
      <c r="J3392" t="s">
        <v>91</v>
      </c>
      <c r="K3392" t="s">
        <v>78</v>
      </c>
      <c r="L3392" t="s">
        <v>350</v>
      </c>
      <c r="M3392" t="s">
        <v>351</v>
      </c>
      <c r="N3392" t="s">
        <v>1613</v>
      </c>
      <c r="O3392" t="s">
        <v>82</v>
      </c>
      <c r="P3392" t="str">
        <f>"4170066505                    "</f>
        <v xml:space="preserve">4170066505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238.91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12</v>
      </c>
      <c r="BJ3392">
        <v>3.4</v>
      </c>
      <c r="BK3392">
        <v>12</v>
      </c>
      <c r="BL3392">
        <v>758.27</v>
      </c>
      <c r="BM3392">
        <v>113.74</v>
      </c>
      <c r="BN3392">
        <v>872.01</v>
      </c>
      <c r="BO3392">
        <v>872.01</v>
      </c>
      <c r="BQ3392" t="s">
        <v>1614</v>
      </c>
      <c r="BR3392" t="s">
        <v>97</v>
      </c>
      <c r="BS3392" s="3">
        <v>45959</v>
      </c>
      <c r="BT3392" s="4">
        <v>0.42222222222222222</v>
      </c>
      <c r="BU3392" t="s">
        <v>3579</v>
      </c>
      <c r="BV3392" t="s">
        <v>86</v>
      </c>
      <c r="BY3392">
        <v>16965</v>
      </c>
      <c r="CA3392" t="s">
        <v>3496</v>
      </c>
      <c r="CC3392" t="s">
        <v>351</v>
      </c>
      <c r="CD3392" s="5" t="s">
        <v>356</v>
      </c>
      <c r="CE3392" t="s">
        <v>191</v>
      </c>
      <c r="CF3392" s="3">
        <v>45960</v>
      </c>
      <c r="CI3392">
        <v>1</v>
      </c>
      <c r="CJ3392">
        <v>1</v>
      </c>
      <c r="CK3392">
        <v>23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"080068799097"</f>
        <v>080068799097</v>
      </c>
      <c r="F3393" s="3">
        <v>45958</v>
      </c>
      <c r="G3393">
        <v>202607</v>
      </c>
      <c r="H3393" t="s">
        <v>79</v>
      </c>
      <c r="I3393" t="s">
        <v>80</v>
      </c>
      <c r="J3393" t="s">
        <v>91</v>
      </c>
      <c r="K3393" t="s">
        <v>78</v>
      </c>
      <c r="L3393" t="s">
        <v>206</v>
      </c>
      <c r="M3393" t="s">
        <v>207</v>
      </c>
      <c r="N3393" t="s">
        <v>1646</v>
      </c>
      <c r="O3393" t="s">
        <v>82</v>
      </c>
      <c r="P3393" t="str">
        <f>"4170066533                    "</f>
        <v xml:space="preserve">4170066533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44.69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4</v>
      </c>
      <c r="BJ3393">
        <v>3.4</v>
      </c>
      <c r="BK3393">
        <v>4</v>
      </c>
      <c r="BL3393">
        <v>141.85</v>
      </c>
      <c r="BM3393">
        <v>21.28</v>
      </c>
      <c r="BN3393">
        <v>163.13</v>
      </c>
      <c r="BO3393">
        <v>163.13</v>
      </c>
      <c r="BQ3393" t="s">
        <v>1647</v>
      </c>
      <c r="BR3393" t="s">
        <v>97</v>
      </c>
      <c r="BS3393" s="3">
        <v>45959</v>
      </c>
      <c r="BT3393" s="4">
        <v>0.58333333333333337</v>
      </c>
      <c r="BU3393" t="s">
        <v>3583</v>
      </c>
      <c r="BV3393" t="s">
        <v>90</v>
      </c>
      <c r="BY3393">
        <v>16965</v>
      </c>
      <c r="CA3393" t="s">
        <v>1650</v>
      </c>
      <c r="CC3393" t="s">
        <v>207</v>
      </c>
      <c r="CD3393">
        <v>7550</v>
      </c>
      <c r="CE3393" t="s">
        <v>191</v>
      </c>
      <c r="CF3393" s="3">
        <v>45960</v>
      </c>
      <c r="CI3393">
        <v>1</v>
      </c>
      <c r="CJ3393">
        <v>1</v>
      </c>
      <c r="CK3393">
        <v>21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"080068799160"</f>
        <v>080068799160</v>
      </c>
      <c r="F3394" s="3">
        <v>45958</v>
      </c>
      <c r="G3394">
        <v>202607</v>
      </c>
      <c r="H3394" t="s">
        <v>79</v>
      </c>
      <c r="I3394" t="s">
        <v>80</v>
      </c>
      <c r="J3394" t="s">
        <v>91</v>
      </c>
      <c r="K3394" t="s">
        <v>78</v>
      </c>
      <c r="L3394" t="s">
        <v>1008</v>
      </c>
      <c r="M3394" t="s">
        <v>1009</v>
      </c>
      <c r="N3394" t="s">
        <v>3575</v>
      </c>
      <c r="O3394" t="s">
        <v>82</v>
      </c>
      <c r="P3394" t="str">
        <f>"4170066511                    "</f>
        <v xml:space="preserve">4170066511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77.37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16.739999999999998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4</v>
      </c>
      <c r="BJ3394">
        <v>4.9000000000000004</v>
      </c>
      <c r="BK3394">
        <v>5</v>
      </c>
      <c r="BL3394">
        <v>262.3</v>
      </c>
      <c r="BM3394">
        <v>39.35</v>
      </c>
      <c r="BN3394">
        <v>301.64999999999998</v>
      </c>
      <c r="BO3394">
        <v>301.64999999999998</v>
      </c>
      <c r="BQ3394" t="s">
        <v>3576</v>
      </c>
      <c r="BR3394" t="s">
        <v>97</v>
      </c>
      <c r="BS3394" s="3">
        <v>45959</v>
      </c>
      <c r="BT3394" s="4">
        <v>0.33333333333333331</v>
      </c>
      <c r="BU3394" t="s">
        <v>3577</v>
      </c>
      <c r="BV3394" t="s">
        <v>86</v>
      </c>
      <c r="BY3394">
        <v>24320</v>
      </c>
      <c r="BZ3394" t="s">
        <v>30</v>
      </c>
      <c r="CA3394" t="s">
        <v>2194</v>
      </c>
      <c r="CC3394" t="s">
        <v>1009</v>
      </c>
      <c r="CD3394">
        <v>1759</v>
      </c>
      <c r="CE3394" t="s">
        <v>107</v>
      </c>
      <c r="CF3394" s="3">
        <v>45960</v>
      </c>
      <c r="CI3394">
        <v>1</v>
      </c>
      <c r="CJ3394">
        <v>1</v>
      </c>
      <c r="CK3394">
        <v>24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"080068799247"</f>
        <v>080068799247</v>
      </c>
      <c r="F3395" s="3">
        <v>45958</v>
      </c>
      <c r="G3395">
        <v>202607</v>
      </c>
      <c r="H3395" t="s">
        <v>79</v>
      </c>
      <c r="I3395" t="s">
        <v>80</v>
      </c>
      <c r="J3395" t="s">
        <v>91</v>
      </c>
      <c r="K3395" t="s">
        <v>78</v>
      </c>
      <c r="L3395" t="s">
        <v>1008</v>
      </c>
      <c r="M3395" t="s">
        <v>1009</v>
      </c>
      <c r="N3395" t="s">
        <v>1344</v>
      </c>
      <c r="O3395" t="s">
        <v>226</v>
      </c>
      <c r="P3395" t="str">
        <f>"4170066514                    "</f>
        <v xml:space="preserve">4170066514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163.53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16.739999999999998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2</v>
      </c>
      <c r="BI3395">
        <v>9</v>
      </c>
      <c r="BJ3395">
        <v>5.8</v>
      </c>
      <c r="BK3395">
        <v>9</v>
      </c>
      <c r="BL3395">
        <v>535.76</v>
      </c>
      <c r="BM3395">
        <v>80.36</v>
      </c>
      <c r="BN3395">
        <v>616.12</v>
      </c>
      <c r="BO3395">
        <v>616.12</v>
      </c>
      <c r="BQ3395" t="s">
        <v>1345</v>
      </c>
      <c r="BR3395" t="s">
        <v>97</v>
      </c>
      <c r="BS3395" s="3">
        <v>45959</v>
      </c>
      <c r="BT3395" s="4">
        <v>0.50694444444444442</v>
      </c>
      <c r="BU3395" t="s">
        <v>1346</v>
      </c>
      <c r="BV3395" t="s">
        <v>86</v>
      </c>
      <c r="BY3395">
        <v>28878</v>
      </c>
      <c r="BZ3395" t="s">
        <v>30</v>
      </c>
      <c r="CA3395" t="s">
        <v>2194</v>
      </c>
      <c r="CC3395" t="s">
        <v>1009</v>
      </c>
      <c r="CD3395">
        <v>1759</v>
      </c>
      <c r="CE3395" t="s">
        <v>191</v>
      </c>
      <c r="CF3395" s="3">
        <v>45960</v>
      </c>
      <c r="CI3395">
        <v>1</v>
      </c>
      <c r="CJ3395">
        <v>1</v>
      </c>
      <c r="CK3395">
        <v>34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"080068799269"</f>
        <v>080068799269</v>
      </c>
      <c r="F3396" s="3">
        <v>45958</v>
      </c>
      <c r="G3396">
        <v>202607</v>
      </c>
      <c r="H3396" t="s">
        <v>79</v>
      </c>
      <c r="I3396" t="s">
        <v>80</v>
      </c>
      <c r="J3396" t="s">
        <v>91</v>
      </c>
      <c r="K3396" t="s">
        <v>78</v>
      </c>
      <c r="L3396" t="s">
        <v>322</v>
      </c>
      <c r="M3396" t="s">
        <v>322</v>
      </c>
      <c r="N3396" t="s">
        <v>376</v>
      </c>
      <c r="O3396" t="s">
        <v>82</v>
      </c>
      <c r="P3396" t="str">
        <f>"4170066512                    "</f>
        <v xml:space="preserve">4170066512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43.31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137.47</v>
      </c>
      <c r="BM3396">
        <v>20.62</v>
      </c>
      <c r="BN3396">
        <v>158.09</v>
      </c>
      <c r="BO3396">
        <v>158.09</v>
      </c>
      <c r="BQ3396" t="s">
        <v>377</v>
      </c>
      <c r="BR3396" t="s">
        <v>97</v>
      </c>
      <c r="BS3396" s="3">
        <v>45959</v>
      </c>
      <c r="BT3396" s="4">
        <v>0.54166666666666663</v>
      </c>
      <c r="BU3396" t="s">
        <v>378</v>
      </c>
      <c r="BV3396" t="s">
        <v>86</v>
      </c>
      <c r="BY3396">
        <v>1200</v>
      </c>
      <c r="CA3396" t="s">
        <v>326</v>
      </c>
      <c r="CC3396" t="s">
        <v>322</v>
      </c>
      <c r="CD3396">
        <v>7646</v>
      </c>
      <c r="CE3396" t="s">
        <v>147</v>
      </c>
      <c r="CI3396">
        <v>1</v>
      </c>
      <c r="CJ3396">
        <v>1</v>
      </c>
      <c r="CK3396">
        <v>23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"080068799285"</f>
        <v>080068799285</v>
      </c>
      <c r="F3397" s="3">
        <v>45958</v>
      </c>
      <c r="G3397">
        <v>202607</v>
      </c>
      <c r="H3397" t="s">
        <v>79</v>
      </c>
      <c r="I3397" t="s">
        <v>80</v>
      </c>
      <c r="J3397" t="s">
        <v>91</v>
      </c>
      <c r="K3397" t="s">
        <v>78</v>
      </c>
      <c r="L3397" t="s">
        <v>453</v>
      </c>
      <c r="M3397" t="s">
        <v>454</v>
      </c>
      <c r="N3397" t="s">
        <v>3580</v>
      </c>
      <c r="O3397" t="s">
        <v>82</v>
      </c>
      <c r="P3397" t="str">
        <f>"4170066526                    "</f>
        <v xml:space="preserve">4170066526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22.36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70.959999999999994</v>
      </c>
      <c r="BM3397">
        <v>10.64</v>
      </c>
      <c r="BN3397">
        <v>81.599999999999994</v>
      </c>
      <c r="BO3397">
        <v>81.599999999999994</v>
      </c>
      <c r="BQ3397" t="s">
        <v>3581</v>
      </c>
      <c r="BR3397" t="s">
        <v>97</v>
      </c>
      <c r="BS3397" s="3">
        <v>45959</v>
      </c>
      <c r="BT3397" s="4">
        <v>0.52777777777777779</v>
      </c>
      <c r="BU3397" t="s">
        <v>3582</v>
      </c>
      <c r="BV3397" t="s">
        <v>86</v>
      </c>
      <c r="BY3397">
        <v>1200</v>
      </c>
      <c r="CA3397" t="s">
        <v>742</v>
      </c>
      <c r="CC3397" t="s">
        <v>454</v>
      </c>
      <c r="CD3397">
        <v>3610</v>
      </c>
      <c r="CE3397" t="s">
        <v>1955</v>
      </c>
      <c r="CF3397" s="3">
        <v>45960</v>
      </c>
      <c r="CI3397">
        <v>1</v>
      </c>
      <c r="CJ3397">
        <v>1</v>
      </c>
      <c r="CK3397">
        <v>21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"080068799314"</f>
        <v>080068799314</v>
      </c>
      <c r="F3398" s="3">
        <v>45958</v>
      </c>
      <c r="G3398">
        <v>202607</v>
      </c>
      <c r="H3398" t="s">
        <v>79</v>
      </c>
      <c r="I3398" t="s">
        <v>80</v>
      </c>
      <c r="J3398" t="s">
        <v>91</v>
      </c>
      <c r="K3398" t="s">
        <v>78</v>
      </c>
      <c r="L3398" t="s">
        <v>79</v>
      </c>
      <c r="M3398" t="s">
        <v>80</v>
      </c>
      <c r="N3398" t="s">
        <v>577</v>
      </c>
      <c r="O3398" t="s">
        <v>226</v>
      </c>
      <c r="P3398" t="str">
        <f>"4170066529                    "</f>
        <v xml:space="preserve">4170066529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17.47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2</v>
      </c>
      <c r="BI3398">
        <v>6</v>
      </c>
      <c r="BJ3398">
        <v>2.2000000000000002</v>
      </c>
      <c r="BK3398">
        <v>6</v>
      </c>
      <c r="BL3398">
        <v>55.44</v>
      </c>
      <c r="BM3398">
        <v>8.32</v>
      </c>
      <c r="BN3398">
        <v>63.76</v>
      </c>
      <c r="BO3398">
        <v>63.76</v>
      </c>
      <c r="BQ3398" t="s">
        <v>578</v>
      </c>
      <c r="BR3398" t="s">
        <v>97</v>
      </c>
      <c r="BS3398" s="3">
        <v>45959</v>
      </c>
      <c r="BT3398" s="4">
        <v>0.43055555555555558</v>
      </c>
      <c r="BU3398" t="s">
        <v>1536</v>
      </c>
      <c r="BV3398" t="s">
        <v>86</v>
      </c>
      <c r="BY3398">
        <v>5510</v>
      </c>
      <c r="CA3398" t="s">
        <v>580</v>
      </c>
      <c r="CC3398" t="s">
        <v>80</v>
      </c>
      <c r="CD3398">
        <v>1619</v>
      </c>
      <c r="CE3398" t="s">
        <v>2005</v>
      </c>
      <c r="CF3398" s="3">
        <v>45960</v>
      </c>
      <c r="CI3398">
        <v>1</v>
      </c>
      <c r="CJ3398">
        <v>1</v>
      </c>
      <c r="CK3398">
        <v>32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"080068799350"</f>
        <v>080068799350</v>
      </c>
      <c r="F3399" s="3">
        <v>45958</v>
      </c>
      <c r="G3399">
        <v>202607</v>
      </c>
      <c r="H3399" t="s">
        <v>79</v>
      </c>
      <c r="I3399" t="s">
        <v>80</v>
      </c>
      <c r="J3399" t="s">
        <v>91</v>
      </c>
      <c r="K3399" t="s">
        <v>78</v>
      </c>
      <c r="L3399" t="s">
        <v>79</v>
      </c>
      <c r="M3399" t="s">
        <v>80</v>
      </c>
      <c r="N3399" t="s">
        <v>577</v>
      </c>
      <c r="O3399" t="s">
        <v>82</v>
      </c>
      <c r="P3399" t="str">
        <f>"4170066531                    "</f>
        <v xml:space="preserve">4170066531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17.46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1.1000000000000001</v>
      </c>
      <c r="BK3399">
        <v>2</v>
      </c>
      <c r="BL3399">
        <v>55.42</v>
      </c>
      <c r="BM3399">
        <v>8.31</v>
      </c>
      <c r="BN3399">
        <v>63.73</v>
      </c>
      <c r="BO3399">
        <v>63.73</v>
      </c>
      <c r="BQ3399" t="s">
        <v>578</v>
      </c>
      <c r="BR3399" t="s">
        <v>97</v>
      </c>
      <c r="BS3399" s="3">
        <v>45959</v>
      </c>
      <c r="BT3399" s="4">
        <v>0.43055555555555558</v>
      </c>
      <c r="BU3399" t="s">
        <v>3579</v>
      </c>
      <c r="BV3399" t="s">
        <v>86</v>
      </c>
      <c r="BY3399">
        <v>5320</v>
      </c>
      <c r="CA3399" t="s">
        <v>1957</v>
      </c>
      <c r="CC3399" t="s">
        <v>80</v>
      </c>
      <c r="CD3399">
        <v>1619</v>
      </c>
      <c r="CE3399" t="s">
        <v>191</v>
      </c>
      <c r="CF3399" s="3">
        <v>45960</v>
      </c>
      <c r="CI3399">
        <v>1</v>
      </c>
      <c r="CJ3399">
        <v>1</v>
      </c>
      <c r="CK3399">
        <v>22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"080068799367"</f>
        <v>080068799367</v>
      </c>
      <c r="F3400" s="3">
        <v>45958</v>
      </c>
      <c r="G3400">
        <v>202607</v>
      </c>
      <c r="H3400" t="s">
        <v>79</v>
      </c>
      <c r="I3400" t="s">
        <v>80</v>
      </c>
      <c r="J3400" t="s">
        <v>91</v>
      </c>
      <c r="K3400" t="s">
        <v>78</v>
      </c>
      <c r="L3400" t="s">
        <v>206</v>
      </c>
      <c r="M3400" t="s">
        <v>207</v>
      </c>
      <c r="N3400" t="s">
        <v>2572</v>
      </c>
      <c r="O3400" t="s">
        <v>82</v>
      </c>
      <c r="P3400" t="str">
        <f>"4170066524                    "</f>
        <v xml:space="preserve">4170066524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83.78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5</v>
      </c>
      <c r="BJ3400">
        <v>7.4</v>
      </c>
      <c r="BK3400">
        <v>7.5</v>
      </c>
      <c r="BL3400">
        <v>265.92</v>
      </c>
      <c r="BM3400">
        <v>39.89</v>
      </c>
      <c r="BN3400">
        <v>305.81</v>
      </c>
      <c r="BO3400">
        <v>305.81</v>
      </c>
      <c r="BQ3400" t="s">
        <v>2573</v>
      </c>
      <c r="BR3400" t="s">
        <v>97</v>
      </c>
      <c r="BS3400" s="3">
        <v>45959</v>
      </c>
      <c r="BT3400" s="4">
        <v>0.38541666666666669</v>
      </c>
      <c r="BU3400" t="s">
        <v>3584</v>
      </c>
      <c r="BV3400" t="s">
        <v>86</v>
      </c>
      <c r="BY3400">
        <v>36800</v>
      </c>
      <c r="CA3400" t="s">
        <v>211</v>
      </c>
      <c r="CC3400" t="s">
        <v>207</v>
      </c>
      <c r="CD3400">
        <v>7441</v>
      </c>
      <c r="CE3400" t="s">
        <v>191</v>
      </c>
      <c r="CF3400" s="3">
        <v>45960</v>
      </c>
      <c r="CI3400">
        <v>1</v>
      </c>
      <c r="CJ3400">
        <v>1</v>
      </c>
      <c r="CK3400">
        <v>21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"080068799389"</f>
        <v>080068799389</v>
      </c>
      <c r="F3401" s="3">
        <v>45958</v>
      </c>
      <c r="G3401">
        <v>202607</v>
      </c>
      <c r="H3401" t="s">
        <v>79</v>
      </c>
      <c r="I3401" t="s">
        <v>80</v>
      </c>
      <c r="J3401" t="s">
        <v>91</v>
      </c>
      <c r="K3401" t="s">
        <v>78</v>
      </c>
      <c r="L3401" t="s">
        <v>453</v>
      </c>
      <c r="M3401" t="s">
        <v>454</v>
      </c>
      <c r="N3401" t="s">
        <v>845</v>
      </c>
      <c r="O3401" t="s">
        <v>82</v>
      </c>
      <c r="P3401" t="str">
        <f>"4170066515                    "</f>
        <v xml:space="preserve">4170066515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78.2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2</v>
      </c>
      <c r="BI3401">
        <v>7</v>
      </c>
      <c r="BJ3401">
        <v>2.8</v>
      </c>
      <c r="BK3401">
        <v>7</v>
      </c>
      <c r="BL3401">
        <v>248.2</v>
      </c>
      <c r="BM3401">
        <v>37.229999999999997</v>
      </c>
      <c r="BN3401">
        <v>285.43</v>
      </c>
      <c r="BO3401">
        <v>285.43</v>
      </c>
      <c r="BQ3401" t="s">
        <v>846</v>
      </c>
      <c r="BR3401" t="s">
        <v>97</v>
      </c>
      <c r="BS3401" s="3">
        <v>45959</v>
      </c>
      <c r="BT3401" s="4">
        <v>0.44513888888888886</v>
      </c>
      <c r="BU3401" t="s">
        <v>2146</v>
      </c>
      <c r="BV3401" t="s">
        <v>86</v>
      </c>
      <c r="BY3401">
        <v>14175</v>
      </c>
      <c r="CA3401" t="s">
        <v>457</v>
      </c>
      <c r="CC3401" t="s">
        <v>454</v>
      </c>
      <c r="CD3401">
        <v>3610</v>
      </c>
      <c r="CE3401" t="s">
        <v>191</v>
      </c>
      <c r="CF3401" s="3">
        <v>45960</v>
      </c>
      <c r="CI3401">
        <v>1</v>
      </c>
      <c r="CJ3401">
        <v>1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"080068799469"</f>
        <v>080068799469</v>
      </c>
      <c r="F3402" s="3">
        <v>45958</v>
      </c>
      <c r="G3402">
        <v>202607</v>
      </c>
      <c r="H3402" t="s">
        <v>79</v>
      </c>
      <c r="I3402" t="s">
        <v>80</v>
      </c>
      <c r="J3402" t="s">
        <v>91</v>
      </c>
      <c r="K3402" t="s">
        <v>78</v>
      </c>
      <c r="L3402" t="s">
        <v>809</v>
      </c>
      <c r="M3402" t="s">
        <v>810</v>
      </c>
      <c r="N3402" t="s">
        <v>1353</v>
      </c>
      <c r="O3402" t="s">
        <v>82</v>
      </c>
      <c r="P3402" t="str">
        <f>"4170066532                    "</f>
        <v xml:space="preserve">4170066532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17.46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2</v>
      </c>
      <c r="BJ3402">
        <v>1.1000000000000001</v>
      </c>
      <c r="BK3402">
        <v>2</v>
      </c>
      <c r="BL3402">
        <v>55.42</v>
      </c>
      <c r="BM3402">
        <v>8.31</v>
      </c>
      <c r="BN3402">
        <v>63.73</v>
      </c>
      <c r="BO3402">
        <v>63.73</v>
      </c>
      <c r="BQ3402" t="s">
        <v>1354</v>
      </c>
      <c r="BR3402" t="s">
        <v>97</v>
      </c>
      <c r="BS3402" s="3">
        <v>45959</v>
      </c>
      <c r="BT3402" s="4">
        <v>0.35069444444444442</v>
      </c>
      <c r="BU3402" t="s">
        <v>1355</v>
      </c>
      <c r="BV3402" t="s">
        <v>86</v>
      </c>
      <c r="BY3402">
        <v>5320</v>
      </c>
      <c r="CA3402" t="s">
        <v>1356</v>
      </c>
      <c r="CC3402" t="s">
        <v>810</v>
      </c>
      <c r="CD3402">
        <v>1724</v>
      </c>
      <c r="CE3402" t="s">
        <v>191</v>
      </c>
      <c r="CF3402" s="3">
        <v>45960</v>
      </c>
      <c r="CI3402">
        <v>1</v>
      </c>
      <c r="CJ3402">
        <v>1</v>
      </c>
      <c r="CK3402">
        <v>22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"080068799538"</f>
        <v>080068799538</v>
      </c>
      <c r="F3403" s="3">
        <v>45958</v>
      </c>
      <c r="G3403">
        <v>202607</v>
      </c>
      <c r="H3403" t="s">
        <v>79</v>
      </c>
      <c r="I3403" t="s">
        <v>80</v>
      </c>
      <c r="J3403" t="s">
        <v>91</v>
      </c>
      <c r="K3403" t="s">
        <v>78</v>
      </c>
      <c r="L3403" t="s">
        <v>322</v>
      </c>
      <c r="M3403" t="s">
        <v>322</v>
      </c>
      <c r="N3403" t="s">
        <v>323</v>
      </c>
      <c r="O3403" t="s">
        <v>95</v>
      </c>
      <c r="P3403" t="str">
        <f>"4170066530                    "</f>
        <v xml:space="preserve">4170066530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101.46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2</v>
      </c>
      <c r="BI3403">
        <v>10</v>
      </c>
      <c r="BJ3403">
        <v>27.4</v>
      </c>
      <c r="BK3403">
        <v>28</v>
      </c>
      <c r="BL3403">
        <v>327.89</v>
      </c>
      <c r="BM3403">
        <v>49.18</v>
      </c>
      <c r="BN3403">
        <v>377.07</v>
      </c>
      <c r="BO3403">
        <v>377.07</v>
      </c>
      <c r="BQ3403" t="s">
        <v>324</v>
      </c>
      <c r="BR3403" t="s">
        <v>97</v>
      </c>
      <c r="BS3403" t="s">
        <v>2659</v>
      </c>
      <c r="BY3403">
        <v>136896</v>
      </c>
      <c r="CC3403" t="s">
        <v>322</v>
      </c>
      <c r="CD3403">
        <v>7646</v>
      </c>
      <c r="CE3403" t="s">
        <v>191</v>
      </c>
      <c r="CI3403">
        <v>3</v>
      </c>
      <c r="CJ3403" t="s">
        <v>2659</v>
      </c>
      <c r="CK3403">
        <v>43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"080068799612"</f>
        <v>080068799612</v>
      </c>
      <c r="F3404" s="3">
        <v>45958</v>
      </c>
      <c r="G3404">
        <v>202607</v>
      </c>
      <c r="H3404" t="s">
        <v>79</v>
      </c>
      <c r="I3404" t="s">
        <v>80</v>
      </c>
      <c r="J3404" t="s">
        <v>91</v>
      </c>
      <c r="K3404" t="s">
        <v>78</v>
      </c>
      <c r="L3404" t="s">
        <v>108</v>
      </c>
      <c r="M3404" t="s">
        <v>109</v>
      </c>
      <c r="N3404" t="s">
        <v>556</v>
      </c>
      <c r="O3404" t="s">
        <v>82</v>
      </c>
      <c r="P3404" t="str">
        <f>"4170066525                    "</f>
        <v xml:space="preserve">4170066525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44.69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4</v>
      </c>
      <c r="BJ3404">
        <v>2.5</v>
      </c>
      <c r="BK3404">
        <v>4</v>
      </c>
      <c r="BL3404">
        <v>141.85</v>
      </c>
      <c r="BM3404">
        <v>21.28</v>
      </c>
      <c r="BN3404">
        <v>163.13</v>
      </c>
      <c r="BO3404">
        <v>163.13</v>
      </c>
      <c r="BQ3404" t="s">
        <v>557</v>
      </c>
      <c r="BR3404" t="s">
        <v>97</v>
      </c>
      <c r="BS3404" s="3">
        <v>45959</v>
      </c>
      <c r="BT3404" s="4">
        <v>0.43541666666666667</v>
      </c>
      <c r="BU3404" t="s">
        <v>3585</v>
      </c>
      <c r="BV3404" t="s">
        <v>86</v>
      </c>
      <c r="BY3404">
        <v>12500</v>
      </c>
      <c r="CA3404" t="s">
        <v>559</v>
      </c>
      <c r="CC3404" t="s">
        <v>109</v>
      </c>
      <c r="CD3404">
        <v>6001</v>
      </c>
      <c r="CE3404" t="s">
        <v>107</v>
      </c>
      <c r="CF3404" s="3">
        <v>45959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"009945146250"</f>
        <v>009945146250</v>
      </c>
      <c r="F3405" s="3">
        <v>45958</v>
      </c>
      <c r="G3405">
        <v>202607</v>
      </c>
      <c r="H3405" t="s">
        <v>79</v>
      </c>
      <c r="I3405" t="s">
        <v>80</v>
      </c>
      <c r="J3405" t="s">
        <v>3586</v>
      </c>
      <c r="K3405" t="s">
        <v>78</v>
      </c>
      <c r="L3405" t="s">
        <v>79</v>
      </c>
      <c r="M3405" t="s">
        <v>80</v>
      </c>
      <c r="N3405" t="s">
        <v>3587</v>
      </c>
      <c r="O3405" t="s">
        <v>95</v>
      </c>
      <c r="P3405" t="str">
        <f>"NA                            "</f>
        <v xml:space="preserve">NA        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33.36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1.7</v>
      </c>
      <c r="BK3405">
        <v>2</v>
      </c>
      <c r="BL3405">
        <v>111.75</v>
      </c>
      <c r="BM3405">
        <v>16.760000000000002</v>
      </c>
      <c r="BN3405">
        <v>128.51</v>
      </c>
      <c r="BO3405">
        <v>128.51</v>
      </c>
      <c r="BQ3405" t="s">
        <v>3588</v>
      </c>
      <c r="BR3405" t="s">
        <v>3589</v>
      </c>
      <c r="BS3405" s="3">
        <v>45959</v>
      </c>
      <c r="BT3405" s="4">
        <v>0.48472222222222222</v>
      </c>
      <c r="BU3405" t="s">
        <v>2942</v>
      </c>
      <c r="BV3405" t="s">
        <v>86</v>
      </c>
      <c r="BY3405">
        <v>8409.24</v>
      </c>
      <c r="BZ3405" t="s">
        <v>99</v>
      </c>
      <c r="CA3405" t="s">
        <v>88</v>
      </c>
      <c r="CC3405" t="s">
        <v>80</v>
      </c>
      <c r="CD3405">
        <v>1618</v>
      </c>
      <c r="CE3405" t="s">
        <v>89</v>
      </c>
      <c r="CF3405" s="3">
        <v>45959</v>
      </c>
      <c r="CI3405">
        <v>1</v>
      </c>
      <c r="CJ3405">
        <v>1</v>
      </c>
      <c r="CK3405">
        <v>42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"080068820641"</f>
        <v>080068820641</v>
      </c>
      <c r="F3406" s="3">
        <v>45959</v>
      </c>
      <c r="G3406">
        <v>202607</v>
      </c>
      <c r="H3406" t="s">
        <v>79</v>
      </c>
      <c r="I3406" t="s">
        <v>80</v>
      </c>
      <c r="J3406" t="s">
        <v>91</v>
      </c>
      <c r="K3406" t="s">
        <v>78</v>
      </c>
      <c r="L3406" t="s">
        <v>206</v>
      </c>
      <c r="M3406" t="s">
        <v>207</v>
      </c>
      <c r="N3406" t="s">
        <v>3457</v>
      </c>
      <c r="O3406" t="s">
        <v>82</v>
      </c>
      <c r="P3406" t="str">
        <f>"4170066582                    "</f>
        <v xml:space="preserve">4170066582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22.36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70.959999999999994</v>
      </c>
      <c r="BM3406">
        <v>10.64</v>
      </c>
      <c r="BN3406">
        <v>81.599999999999994</v>
      </c>
      <c r="BO3406">
        <v>81.599999999999994</v>
      </c>
      <c r="BQ3406" t="s">
        <v>3458</v>
      </c>
      <c r="BR3406" t="s">
        <v>97</v>
      </c>
      <c r="BS3406" s="3">
        <v>45960</v>
      </c>
      <c r="BT3406" s="4">
        <v>0.40972222222222221</v>
      </c>
      <c r="BU3406" t="s">
        <v>658</v>
      </c>
      <c r="BV3406" t="s">
        <v>86</v>
      </c>
      <c r="BY3406">
        <v>1200</v>
      </c>
      <c r="CA3406" t="s">
        <v>211</v>
      </c>
      <c r="CC3406" t="s">
        <v>207</v>
      </c>
      <c r="CD3406">
        <v>7441</v>
      </c>
      <c r="CE3406" t="s">
        <v>147</v>
      </c>
      <c r="CI3406">
        <v>1</v>
      </c>
      <c r="CJ3406">
        <v>1</v>
      </c>
      <c r="CK3406">
        <v>21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"080068820665"</f>
        <v>080068820665</v>
      </c>
      <c r="F3407" s="3">
        <v>45959</v>
      </c>
      <c r="G3407">
        <v>202607</v>
      </c>
      <c r="H3407" t="s">
        <v>79</v>
      </c>
      <c r="I3407" t="s">
        <v>80</v>
      </c>
      <c r="J3407" t="s">
        <v>91</v>
      </c>
      <c r="K3407" t="s">
        <v>78</v>
      </c>
      <c r="L3407" t="s">
        <v>342</v>
      </c>
      <c r="M3407" t="s">
        <v>343</v>
      </c>
      <c r="N3407" t="s">
        <v>344</v>
      </c>
      <c r="O3407" t="s">
        <v>82</v>
      </c>
      <c r="P3407" t="str">
        <f>"4170066147                    "</f>
        <v xml:space="preserve">4170066147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43.31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137.47</v>
      </c>
      <c r="BM3407">
        <v>20.62</v>
      </c>
      <c r="BN3407">
        <v>158.09</v>
      </c>
      <c r="BO3407">
        <v>158.09</v>
      </c>
      <c r="BQ3407" t="s">
        <v>345</v>
      </c>
      <c r="BR3407" t="s">
        <v>97</v>
      </c>
      <c r="BS3407" t="s">
        <v>2659</v>
      </c>
      <c r="BY3407">
        <v>1200</v>
      </c>
      <c r="CC3407" t="s">
        <v>343</v>
      </c>
      <c r="CD3407">
        <v>7349</v>
      </c>
      <c r="CE3407" t="s">
        <v>147</v>
      </c>
      <c r="CI3407">
        <v>1</v>
      </c>
      <c r="CJ3407" t="s">
        <v>2659</v>
      </c>
      <c r="CK3407">
        <v>23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"080068820687"</f>
        <v>080068820687</v>
      </c>
      <c r="F3408" s="3">
        <v>45959</v>
      </c>
      <c r="G3408">
        <v>202607</v>
      </c>
      <c r="H3408" t="s">
        <v>79</v>
      </c>
      <c r="I3408" t="s">
        <v>80</v>
      </c>
      <c r="J3408" t="s">
        <v>91</v>
      </c>
      <c r="K3408" t="s">
        <v>78</v>
      </c>
      <c r="L3408" t="s">
        <v>148</v>
      </c>
      <c r="M3408" t="s">
        <v>149</v>
      </c>
      <c r="N3408" t="s">
        <v>819</v>
      </c>
      <c r="O3408" t="s">
        <v>82</v>
      </c>
      <c r="P3408" t="str">
        <f>"4170066658                    "</f>
        <v xml:space="preserve">4170066658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17.46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55.42</v>
      </c>
      <c r="BM3408">
        <v>8.31</v>
      </c>
      <c r="BN3408">
        <v>63.73</v>
      </c>
      <c r="BO3408">
        <v>63.73</v>
      </c>
      <c r="BQ3408" t="s">
        <v>820</v>
      </c>
      <c r="BR3408" t="s">
        <v>97</v>
      </c>
      <c r="BS3408" s="3">
        <v>45960</v>
      </c>
      <c r="BT3408" s="4">
        <v>0.41597222222222224</v>
      </c>
      <c r="BU3408" t="s">
        <v>2935</v>
      </c>
      <c r="BV3408" t="s">
        <v>86</v>
      </c>
      <c r="BY3408">
        <v>1200</v>
      </c>
      <c r="CA3408" t="s">
        <v>519</v>
      </c>
      <c r="CC3408" t="s">
        <v>149</v>
      </c>
      <c r="CD3408">
        <v>2197</v>
      </c>
      <c r="CE3408" t="s">
        <v>147</v>
      </c>
      <c r="CI3408">
        <v>1</v>
      </c>
      <c r="CJ3408">
        <v>1</v>
      </c>
      <c r="CK3408">
        <v>22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"080068820703"</f>
        <v>080068820703</v>
      </c>
      <c r="F3409" s="3">
        <v>45959</v>
      </c>
      <c r="G3409">
        <v>202607</v>
      </c>
      <c r="H3409" t="s">
        <v>79</v>
      </c>
      <c r="I3409" t="s">
        <v>80</v>
      </c>
      <c r="J3409" t="s">
        <v>91</v>
      </c>
      <c r="K3409" t="s">
        <v>78</v>
      </c>
      <c r="L3409" t="s">
        <v>1603</v>
      </c>
      <c r="M3409" t="s">
        <v>1604</v>
      </c>
      <c r="N3409" t="s">
        <v>1605</v>
      </c>
      <c r="O3409" t="s">
        <v>95</v>
      </c>
      <c r="P3409" t="str">
        <f>"4170066594                    "</f>
        <v xml:space="preserve">4170066594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82.77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16.739999999999998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9.1</v>
      </c>
      <c r="BJ3409">
        <v>21.2</v>
      </c>
      <c r="BK3409">
        <v>22</v>
      </c>
      <c r="BL3409">
        <v>285.32</v>
      </c>
      <c r="BM3409">
        <v>42.8</v>
      </c>
      <c r="BN3409">
        <v>328.12</v>
      </c>
      <c r="BO3409">
        <v>328.12</v>
      </c>
      <c r="BQ3409" t="s">
        <v>1606</v>
      </c>
      <c r="BR3409" t="s">
        <v>97</v>
      </c>
      <c r="BS3409" t="s">
        <v>2659</v>
      </c>
      <c r="BY3409">
        <v>105930.72</v>
      </c>
      <c r="BZ3409" t="s">
        <v>30</v>
      </c>
      <c r="CC3409" t="s">
        <v>1604</v>
      </c>
      <c r="CD3409">
        <v>5660</v>
      </c>
      <c r="CE3409" t="s">
        <v>191</v>
      </c>
      <c r="CI3409">
        <v>4</v>
      </c>
      <c r="CJ3409" t="s">
        <v>2659</v>
      </c>
      <c r="CK3409">
        <v>43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"080068820734"</f>
        <v>080068820734</v>
      </c>
      <c r="F3410" s="3">
        <v>45959</v>
      </c>
      <c r="G3410">
        <v>202607</v>
      </c>
      <c r="H3410" t="s">
        <v>79</v>
      </c>
      <c r="I3410" t="s">
        <v>80</v>
      </c>
      <c r="J3410" t="s">
        <v>91</v>
      </c>
      <c r="K3410" t="s">
        <v>78</v>
      </c>
      <c r="L3410" t="s">
        <v>168</v>
      </c>
      <c r="M3410" t="s">
        <v>169</v>
      </c>
      <c r="N3410" t="s">
        <v>2136</v>
      </c>
      <c r="O3410" t="s">
        <v>82</v>
      </c>
      <c r="P3410" t="str">
        <f>"4170066629                    "</f>
        <v xml:space="preserve">4170066629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22.36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0.6</v>
      </c>
      <c r="BJ3410">
        <v>1.6</v>
      </c>
      <c r="BK3410">
        <v>2</v>
      </c>
      <c r="BL3410">
        <v>70.959999999999994</v>
      </c>
      <c r="BM3410">
        <v>10.64</v>
      </c>
      <c r="BN3410">
        <v>81.599999999999994</v>
      </c>
      <c r="BO3410">
        <v>81.599999999999994</v>
      </c>
      <c r="BQ3410" t="s">
        <v>2137</v>
      </c>
      <c r="BR3410" t="s">
        <v>97</v>
      </c>
      <c r="BS3410" s="3">
        <v>45960</v>
      </c>
      <c r="BT3410" s="4">
        <v>0.36319444444444443</v>
      </c>
      <c r="BU3410" t="s">
        <v>2138</v>
      </c>
      <c r="BV3410" t="s">
        <v>86</v>
      </c>
      <c r="BY3410">
        <v>8200.17</v>
      </c>
      <c r="CA3410">
        <v>8303236124087</v>
      </c>
      <c r="CC3410" t="s">
        <v>169</v>
      </c>
      <c r="CD3410" s="5" t="s">
        <v>190</v>
      </c>
      <c r="CE3410" t="s">
        <v>147</v>
      </c>
      <c r="CI3410">
        <v>1</v>
      </c>
      <c r="CJ3410">
        <v>1</v>
      </c>
      <c r="CK3410">
        <v>21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"080068820749"</f>
        <v>080068820749</v>
      </c>
      <c r="F3411" s="3">
        <v>45959</v>
      </c>
      <c r="G3411">
        <v>202607</v>
      </c>
      <c r="H3411" t="s">
        <v>79</v>
      </c>
      <c r="I3411" t="s">
        <v>80</v>
      </c>
      <c r="J3411" t="s">
        <v>91</v>
      </c>
      <c r="K3411" t="s">
        <v>78</v>
      </c>
      <c r="L3411" t="s">
        <v>168</v>
      </c>
      <c r="M3411" t="s">
        <v>169</v>
      </c>
      <c r="N3411" t="s">
        <v>584</v>
      </c>
      <c r="O3411" t="s">
        <v>82</v>
      </c>
      <c r="P3411" t="str">
        <f>"4170066622                    "</f>
        <v xml:space="preserve">4170066622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33.520000000000003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3</v>
      </c>
      <c r="BJ3411">
        <v>0.9</v>
      </c>
      <c r="BK3411">
        <v>3</v>
      </c>
      <c r="BL3411">
        <v>106.4</v>
      </c>
      <c r="BM3411">
        <v>15.96</v>
      </c>
      <c r="BN3411">
        <v>122.36</v>
      </c>
      <c r="BO3411">
        <v>122.36</v>
      </c>
      <c r="BQ3411" t="s">
        <v>585</v>
      </c>
      <c r="BR3411" t="s">
        <v>97</v>
      </c>
      <c r="BS3411" s="3">
        <v>45960</v>
      </c>
      <c r="BT3411" s="4">
        <v>0.36666666666666664</v>
      </c>
      <c r="BU3411" t="s">
        <v>1159</v>
      </c>
      <c r="BV3411" t="s">
        <v>86</v>
      </c>
      <c r="BY3411">
        <v>4275</v>
      </c>
      <c r="CA3411">
        <v>8303236124087</v>
      </c>
      <c r="CC3411" t="s">
        <v>169</v>
      </c>
      <c r="CD3411" s="5" t="s">
        <v>190</v>
      </c>
      <c r="CE3411" t="s">
        <v>191</v>
      </c>
      <c r="CI3411">
        <v>1</v>
      </c>
      <c r="CJ3411">
        <v>1</v>
      </c>
      <c r="CK3411">
        <v>21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"080068820759"</f>
        <v>080068820759</v>
      </c>
      <c r="F3412" s="3">
        <v>45959</v>
      </c>
      <c r="G3412">
        <v>202607</v>
      </c>
      <c r="H3412" t="s">
        <v>79</v>
      </c>
      <c r="I3412" t="s">
        <v>80</v>
      </c>
      <c r="J3412" t="s">
        <v>91</v>
      </c>
      <c r="K3412" t="s">
        <v>78</v>
      </c>
      <c r="L3412" t="s">
        <v>121</v>
      </c>
      <c r="M3412" t="s">
        <v>122</v>
      </c>
      <c r="N3412" t="s">
        <v>123</v>
      </c>
      <c r="O3412" t="s">
        <v>82</v>
      </c>
      <c r="P3412" t="str">
        <f>"4170066647                    "</f>
        <v xml:space="preserve">4170066647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22.36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70.959999999999994</v>
      </c>
      <c r="BM3412">
        <v>10.64</v>
      </c>
      <c r="BN3412">
        <v>81.599999999999994</v>
      </c>
      <c r="BO3412">
        <v>81.599999999999994</v>
      </c>
      <c r="BQ3412" t="s">
        <v>124</v>
      </c>
      <c r="BR3412" t="s">
        <v>97</v>
      </c>
      <c r="BS3412" s="3">
        <v>45960</v>
      </c>
      <c r="BT3412" s="4">
        <v>0.33750000000000002</v>
      </c>
      <c r="BU3412" t="s">
        <v>3590</v>
      </c>
      <c r="BV3412" t="s">
        <v>86</v>
      </c>
      <c r="BY3412">
        <v>1200</v>
      </c>
      <c r="CA3412" t="s">
        <v>126</v>
      </c>
      <c r="CC3412" t="s">
        <v>122</v>
      </c>
      <c r="CD3412">
        <v>4000</v>
      </c>
      <c r="CE3412" t="s">
        <v>147</v>
      </c>
      <c r="CI3412">
        <v>1</v>
      </c>
      <c r="CJ3412">
        <v>1</v>
      </c>
      <c r="CK3412">
        <v>21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"080068820800"</f>
        <v>080068820800</v>
      </c>
      <c r="F3413" s="3">
        <v>45959</v>
      </c>
      <c r="G3413">
        <v>202607</v>
      </c>
      <c r="H3413" t="s">
        <v>79</v>
      </c>
      <c r="I3413" t="s">
        <v>80</v>
      </c>
      <c r="J3413" t="s">
        <v>91</v>
      </c>
      <c r="K3413" t="s">
        <v>78</v>
      </c>
      <c r="L3413" t="s">
        <v>114</v>
      </c>
      <c r="M3413" t="s">
        <v>115</v>
      </c>
      <c r="N3413" t="s">
        <v>2120</v>
      </c>
      <c r="O3413" t="s">
        <v>82</v>
      </c>
      <c r="P3413" t="str">
        <f>"4170066627                    "</f>
        <v xml:space="preserve">4170066627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22.36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70.959999999999994</v>
      </c>
      <c r="BM3413">
        <v>10.64</v>
      </c>
      <c r="BN3413">
        <v>81.599999999999994</v>
      </c>
      <c r="BO3413">
        <v>81.599999999999994</v>
      </c>
      <c r="BQ3413" t="s">
        <v>2121</v>
      </c>
      <c r="BR3413" t="s">
        <v>97</v>
      </c>
      <c r="BS3413" t="s">
        <v>2659</v>
      </c>
      <c r="BY3413">
        <v>1200</v>
      </c>
      <c r="CC3413" t="s">
        <v>115</v>
      </c>
      <c r="CD3413">
        <v>5201</v>
      </c>
      <c r="CE3413" t="s">
        <v>147</v>
      </c>
      <c r="CI3413">
        <v>5</v>
      </c>
      <c r="CJ3413" t="s">
        <v>2659</v>
      </c>
      <c r="CK3413">
        <v>21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"080068820822"</f>
        <v>080068820822</v>
      </c>
      <c r="F3414" s="3">
        <v>45959</v>
      </c>
      <c r="G3414">
        <v>202607</v>
      </c>
      <c r="H3414" t="s">
        <v>79</v>
      </c>
      <c r="I3414" t="s">
        <v>80</v>
      </c>
      <c r="J3414" t="s">
        <v>91</v>
      </c>
      <c r="K3414" t="s">
        <v>78</v>
      </c>
      <c r="L3414" t="s">
        <v>350</v>
      </c>
      <c r="M3414" t="s">
        <v>351</v>
      </c>
      <c r="N3414" t="s">
        <v>2636</v>
      </c>
      <c r="O3414" t="s">
        <v>82</v>
      </c>
      <c r="P3414" t="str">
        <f>"4170066620                    "</f>
        <v xml:space="preserve">4170066620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101.99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4.9000000000000004</v>
      </c>
      <c r="BJ3414">
        <v>3.5</v>
      </c>
      <c r="BK3414">
        <v>5</v>
      </c>
      <c r="BL3414">
        <v>323.70999999999998</v>
      </c>
      <c r="BM3414">
        <v>48.56</v>
      </c>
      <c r="BN3414">
        <v>372.27</v>
      </c>
      <c r="BO3414">
        <v>372.27</v>
      </c>
      <c r="BQ3414" t="s">
        <v>2637</v>
      </c>
      <c r="BR3414" t="s">
        <v>97</v>
      </c>
      <c r="BS3414" s="3">
        <v>45960</v>
      </c>
      <c r="BT3414" s="4">
        <v>0.51111111111111107</v>
      </c>
      <c r="BU3414" t="s">
        <v>3591</v>
      </c>
      <c r="BV3414" t="s">
        <v>86</v>
      </c>
      <c r="BY3414">
        <v>17501.5</v>
      </c>
      <c r="CA3414" t="s">
        <v>3496</v>
      </c>
      <c r="CC3414" t="s">
        <v>351</v>
      </c>
      <c r="CD3414" s="5" t="s">
        <v>356</v>
      </c>
      <c r="CE3414" t="s">
        <v>191</v>
      </c>
      <c r="CI3414">
        <v>1</v>
      </c>
      <c r="CJ3414">
        <v>1</v>
      </c>
      <c r="CK3414">
        <v>23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"080068820833"</f>
        <v>080068820833</v>
      </c>
      <c r="F3415" s="3">
        <v>45959</v>
      </c>
      <c r="G3415">
        <v>202607</v>
      </c>
      <c r="H3415" t="s">
        <v>79</v>
      </c>
      <c r="I3415" t="s">
        <v>80</v>
      </c>
      <c r="J3415" t="s">
        <v>91</v>
      </c>
      <c r="K3415" t="s">
        <v>78</v>
      </c>
      <c r="L3415" t="s">
        <v>148</v>
      </c>
      <c r="M3415" t="s">
        <v>149</v>
      </c>
      <c r="N3415" t="s">
        <v>3592</v>
      </c>
      <c r="O3415" t="s">
        <v>82</v>
      </c>
      <c r="P3415" t="str">
        <f>"4170066653                    "</f>
        <v xml:space="preserve">4170066653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17.46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55.42</v>
      </c>
      <c r="BM3415">
        <v>8.31</v>
      </c>
      <c r="BN3415">
        <v>63.73</v>
      </c>
      <c r="BO3415">
        <v>63.73</v>
      </c>
      <c r="BQ3415" t="s">
        <v>3593</v>
      </c>
      <c r="BR3415" t="s">
        <v>97</v>
      </c>
      <c r="BS3415" s="3">
        <v>45960</v>
      </c>
      <c r="BT3415" s="4">
        <v>0.38541666666666669</v>
      </c>
      <c r="BU3415" t="s">
        <v>3594</v>
      </c>
      <c r="BV3415" t="s">
        <v>86</v>
      </c>
      <c r="BY3415">
        <v>1200</v>
      </c>
      <c r="CA3415" t="s">
        <v>3492</v>
      </c>
      <c r="CC3415" t="s">
        <v>149</v>
      </c>
      <c r="CD3415">
        <v>2000</v>
      </c>
      <c r="CE3415" t="s">
        <v>147</v>
      </c>
      <c r="CI3415">
        <v>1</v>
      </c>
      <c r="CJ3415">
        <v>1</v>
      </c>
      <c r="CK3415">
        <v>22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"080068820852"</f>
        <v>080068820852</v>
      </c>
      <c r="F3416" s="3">
        <v>45959</v>
      </c>
      <c r="G3416">
        <v>202607</v>
      </c>
      <c r="H3416" t="s">
        <v>79</v>
      </c>
      <c r="I3416" t="s">
        <v>80</v>
      </c>
      <c r="J3416" t="s">
        <v>91</v>
      </c>
      <c r="K3416" t="s">
        <v>78</v>
      </c>
      <c r="L3416" t="s">
        <v>605</v>
      </c>
      <c r="M3416" t="s">
        <v>606</v>
      </c>
      <c r="N3416" t="s">
        <v>607</v>
      </c>
      <c r="O3416" t="s">
        <v>82</v>
      </c>
      <c r="P3416" t="str">
        <f>"4170066618                    "</f>
        <v xml:space="preserve">4170066618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141.11000000000001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7</v>
      </c>
      <c r="BJ3416">
        <v>3.2</v>
      </c>
      <c r="BK3416">
        <v>7</v>
      </c>
      <c r="BL3416">
        <v>447.87</v>
      </c>
      <c r="BM3416">
        <v>67.180000000000007</v>
      </c>
      <c r="BN3416">
        <v>515.04999999999995</v>
      </c>
      <c r="BO3416">
        <v>515.04999999999995</v>
      </c>
      <c r="BQ3416" t="s">
        <v>608</v>
      </c>
      <c r="BR3416" t="s">
        <v>97</v>
      </c>
      <c r="BS3416" s="3">
        <v>45960</v>
      </c>
      <c r="BT3416" s="4">
        <v>0.32569444444444445</v>
      </c>
      <c r="BU3416" t="s">
        <v>609</v>
      </c>
      <c r="BV3416" t="s">
        <v>86</v>
      </c>
      <c r="BY3416">
        <v>15840</v>
      </c>
      <c r="CA3416" t="s">
        <v>1143</v>
      </c>
      <c r="CC3416" t="s">
        <v>606</v>
      </c>
      <c r="CD3416">
        <v>1947</v>
      </c>
      <c r="CE3416" t="s">
        <v>191</v>
      </c>
      <c r="CI3416">
        <v>1</v>
      </c>
      <c r="CJ3416">
        <v>1</v>
      </c>
      <c r="CK3416">
        <v>23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"080068820905"</f>
        <v>080068820905</v>
      </c>
      <c r="F3417" s="3">
        <v>45959</v>
      </c>
      <c r="G3417">
        <v>202607</v>
      </c>
      <c r="H3417" t="s">
        <v>79</v>
      </c>
      <c r="I3417" t="s">
        <v>80</v>
      </c>
      <c r="J3417" t="s">
        <v>91</v>
      </c>
      <c r="K3417" t="s">
        <v>78</v>
      </c>
      <c r="L3417" t="s">
        <v>1095</v>
      </c>
      <c r="M3417" t="s">
        <v>1096</v>
      </c>
      <c r="N3417" t="s">
        <v>1097</v>
      </c>
      <c r="O3417" t="s">
        <v>82</v>
      </c>
      <c r="P3417" t="str">
        <f>"4170066633                    "</f>
        <v xml:space="preserve">4170066633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62.87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3</v>
      </c>
      <c r="BJ3417">
        <v>1.8</v>
      </c>
      <c r="BK3417">
        <v>3</v>
      </c>
      <c r="BL3417">
        <v>199.55</v>
      </c>
      <c r="BM3417">
        <v>29.93</v>
      </c>
      <c r="BN3417">
        <v>229.48</v>
      </c>
      <c r="BO3417">
        <v>229.48</v>
      </c>
      <c r="BQ3417" t="s">
        <v>1098</v>
      </c>
      <c r="BR3417" t="s">
        <v>97</v>
      </c>
      <c r="BS3417" s="3">
        <v>45960</v>
      </c>
      <c r="BT3417" s="4">
        <v>0.40416666666666667</v>
      </c>
      <c r="BU3417" t="s">
        <v>2320</v>
      </c>
      <c r="BV3417" t="s">
        <v>86</v>
      </c>
      <c r="BY3417">
        <v>8816</v>
      </c>
      <c r="CA3417" t="s">
        <v>1099</v>
      </c>
      <c r="CC3417" t="s">
        <v>1096</v>
      </c>
      <c r="CD3417">
        <v>2302</v>
      </c>
      <c r="CE3417" t="s">
        <v>191</v>
      </c>
      <c r="CI3417">
        <v>1</v>
      </c>
      <c r="CJ3417">
        <v>1</v>
      </c>
      <c r="CK3417">
        <v>23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"080068820958"</f>
        <v>080068820958</v>
      </c>
      <c r="F3418" s="3">
        <v>45959</v>
      </c>
      <c r="G3418">
        <v>202607</v>
      </c>
      <c r="H3418" t="s">
        <v>79</v>
      </c>
      <c r="I3418" t="s">
        <v>80</v>
      </c>
      <c r="J3418" t="s">
        <v>91</v>
      </c>
      <c r="K3418" t="s">
        <v>78</v>
      </c>
      <c r="L3418" t="s">
        <v>206</v>
      </c>
      <c r="M3418" t="s">
        <v>207</v>
      </c>
      <c r="N3418" t="s">
        <v>458</v>
      </c>
      <c r="O3418" t="s">
        <v>95</v>
      </c>
      <c r="P3418" t="str">
        <f>"4170066598                    "</f>
        <v xml:space="preserve">4170066598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50.37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18.5</v>
      </c>
      <c r="BJ3418">
        <v>18</v>
      </c>
      <c r="BK3418">
        <v>19</v>
      </c>
      <c r="BL3418">
        <v>165.74</v>
      </c>
      <c r="BM3418">
        <v>24.86</v>
      </c>
      <c r="BN3418">
        <v>190.6</v>
      </c>
      <c r="BO3418">
        <v>190.6</v>
      </c>
      <c r="BQ3418" t="s">
        <v>459</v>
      </c>
      <c r="BR3418" t="s">
        <v>97</v>
      </c>
      <c r="BS3418" t="s">
        <v>2659</v>
      </c>
      <c r="BY3418">
        <v>89863.29</v>
      </c>
      <c r="CC3418" t="s">
        <v>207</v>
      </c>
      <c r="CD3418">
        <v>7530</v>
      </c>
      <c r="CE3418" t="s">
        <v>191</v>
      </c>
      <c r="CI3418">
        <v>3</v>
      </c>
      <c r="CJ3418" t="s">
        <v>2659</v>
      </c>
      <c r="CK3418">
        <v>41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"080068821016"</f>
        <v>080068821016</v>
      </c>
      <c r="F3419" s="3">
        <v>45959</v>
      </c>
      <c r="G3419">
        <v>202607</v>
      </c>
      <c r="H3419" t="s">
        <v>79</v>
      </c>
      <c r="I3419" t="s">
        <v>80</v>
      </c>
      <c r="J3419" t="s">
        <v>91</v>
      </c>
      <c r="K3419" t="s">
        <v>78</v>
      </c>
      <c r="L3419" t="s">
        <v>148</v>
      </c>
      <c r="M3419" t="s">
        <v>149</v>
      </c>
      <c r="N3419" t="s">
        <v>3595</v>
      </c>
      <c r="O3419" t="s">
        <v>95</v>
      </c>
      <c r="P3419" t="str">
        <f>"4170066589                    "</f>
        <v xml:space="preserve">4170066589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33.36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11</v>
      </c>
      <c r="BJ3419">
        <v>10</v>
      </c>
      <c r="BK3419">
        <v>11</v>
      </c>
      <c r="BL3419">
        <v>111.75</v>
      </c>
      <c r="BM3419">
        <v>16.760000000000002</v>
      </c>
      <c r="BN3419">
        <v>128.51</v>
      </c>
      <c r="BO3419">
        <v>128.51</v>
      </c>
      <c r="BQ3419" t="s">
        <v>3596</v>
      </c>
      <c r="BR3419" t="s">
        <v>97</v>
      </c>
      <c r="BS3419" t="s">
        <v>2659</v>
      </c>
      <c r="BY3419">
        <v>50160</v>
      </c>
      <c r="CC3419" t="s">
        <v>149</v>
      </c>
      <c r="CD3419">
        <v>2191</v>
      </c>
      <c r="CE3419" t="s">
        <v>191</v>
      </c>
      <c r="CI3419">
        <v>1</v>
      </c>
      <c r="CJ3419" t="s">
        <v>2659</v>
      </c>
      <c r="CK3419">
        <v>42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"080068821063"</f>
        <v>080068821063</v>
      </c>
      <c r="F3420" s="3">
        <v>45959</v>
      </c>
      <c r="G3420">
        <v>202607</v>
      </c>
      <c r="H3420" t="s">
        <v>79</v>
      </c>
      <c r="I3420" t="s">
        <v>80</v>
      </c>
      <c r="J3420" t="s">
        <v>91</v>
      </c>
      <c r="K3420" t="s">
        <v>78</v>
      </c>
      <c r="L3420" t="s">
        <v>114</v>
      </c>
      <c r="M3420" t="s">
        <v>115</v>
      </c>
      <c r="N3420" t="s">
        <v>746</v>
      </c>
      <c r="O3420" t="s">
        <v>82</v>
      </c>
      <c r="P3420" t="str">
        <f>"4170066567                    "</f>
        <v xml:space="preserve">4170066567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94.95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5</v>
      </c>
      <c r="BJ3420">
        <v>8.1999999999999993</v>
      </c>
      <c r="BK3420">
        <v>8.5</v>
      </c>
      <c r="BL3420">
        <v>301.37</v>
      </c>
      <c r="BM3420">
        <v>45.21</v>
      </c>
      <c r="BN3420">
        <v>346.58</v>
      </c>
      <c r="BO3420">
        <v>346.58</v>
      </c>
      <c r="BQ3420" t="s">
        <v>747</v>
      </c>
      <c r="BR3420" t="s">
        <v>97</v>
      </c>
      <c r="BS3420" s="3">
        <v>45960</v>
      </c>
      <c r="BT3420" s="4">
        <v>0.53263888888888888</v>
      </c>
      <c r="BU3420" t="s">
        <v>748</v>
      </c>
      <c r="BV3420" t="s">
        <v>90</v>
      </c>
      <c r="BY3420">
        <v>41040</v>
      </c>
      <c r="CA3420" t="s">
        <v>749</v>
      </c>
      <c r="CC3420" t="s">
        <v>115</v>
      </c>
      <c r="CD3420">
        <v>5201</v>
      </c>
      <c r="CE3420" t="s">
        <v>107</v>
      </c>
      <c r="CI3420">
        <v>1</v>
      </c>
      <c r="CJ3420">
        <v>1</v>
      </c>
      <c r="CK3420">
        <v>21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"080068821101"</f>
        <v>080068821101</v>
      </c>
      <c r="F3421" s="3">
        <v>45959</v>
      </c>
      <c r="G3421">
        <v>202607</v>
      </c>
      <c r="H3421" t="s">
        <v>79</v>
      </c>
      <c r="I3421" t="s">
        <v>80</v>
      </c>
      <c r="J3421" t="s">
        <v>91</v>
      </c>
      <c r="K3421" t="s">
        <v>78</v>
      </c>
      <c r="L3421" t="s">
        <v>530</v>
      </c>
      <c r="M3421" t="s">
        <v>531</v>
      </c>
      <c r="N3421" t="s">
        <v>754</v>
      </c>
      <c r="O3421" t="s">
        <v>82</v>
      </c>
      <c r="P3421" t="str">
        <f>"4170066541                    "</f>
        <v xml:space="preserve">4170066541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43.31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2</v>
      </c>
      <c r="BJ3421">
        <v>1.1000000000000001</v>
      </c>
      <c r="BK3421">
        <v>2</v>
      </c>
      <c r="BL3421">
        <v>137.47</v>
      </c>
      <c r="BM3421">
        <v>20.62</v>
      </c>
      <c r="BN3421">
        <v>158.09</v>
      </c>
      <c r="BO3421">
        <v>158.09</v>
      </c>
      <c r="BQ3421" t="s">
        <v>755</v>
      </c>
      <c r="BR3421" t="s">
        <v>97</v>
      </c>
      <c r="BS3421" t="s">
        <v>2659</v>
      </c>
      <c r="BY3421">
        <v>5510</v>
      </c>
      <c r="CC3421" t="s">
        <v>531</v>
      </c>
      <c r="CD3421">
        <v>6850</v>
      </c>
      <c r="CE3421" t="s">
        <v>191</v>
      </c>
      <c r="CI3421">
        <v>2</v>
      </c>
      <c r="CJ3421" t="s">
        <v>2659</v>
      </c>
      <c r="CK3421">
        <v>23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"080068821138"</f>
        <v>080068821138</v>
      </c>
      <c r="F3422" s="3">
        <v>45959</v>
      </c>
      <c r="G3422">
        <v>202607</v>
      </c>
      <c r="H3422" t="s">
        <v>79</v>
      </c>
      <c r="I3422" t="s">
        <v>80</v>
      </c>
      <c r="J3422" t="s">
        <v>91</v>
      </c>
      <c r="K3422" t="s">
        <v>78</v>
      </c>
      <c r="L3422" t="s">
        <v>530</v>
      </c>
      <c r="M3422" t="s">
        <v>531</v>
      </c>
      <c r="N3422" t="s">
        <v>754</v>
      </c>
      <c r="O3422" t="s">
        <v>82</v>
      </c>
      <c r="P3422" t="str">
        <f>"4170066537                    "</f>
        <v xml:space="preserve">4170066537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43.31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0.9</v>
      </c>
      <c r="BK3422">
        <v>1</v>
      </c>
      <c r="BL3422">
        <v>137.47</v>
      </c>
      <c r="BM3422">
        <v>20.62</v>
      </c>
      <c r="BN3422">
        <v>158.09</v>
      </c>
      <c r="BO3422">
        <v>158.09</v>
      </c>
      <c r="BQ3422" t="s">
        <v>755</v>
      </c>
      <c r="BR3422" t="s">
        <v>97</v>
      </c>
      <c r="BS3422" t="s">
        <v>2659</v>
      </c>
      <c r="BY3422">
        <v>4275</v>
      </c>
      <c r="CC3422" t="s">
        <v>531</v>
      </c>
      <c r="CD3422">
        <v>6850</v>
      </c>
      <c r="CE3422" t="s">
        <v>191</v>
      </c>
      <c r="CI3422">
        <v>2</v>
      </c>
      <c r="CJ3422" t="s">
        <v>2659</v>
      </c>
      <c r="CK3422">
        <v>23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"080068821163"</f>
        <v>080068821163</v>
      </c>
      <c r="F3423" s="3">
        <v>45959</v>
      </c>
      <c r="G3423">
        <v>202607</v>
      </c>
      <c r="H3423" t="s">
        <v>79</v>
      </c>
      <c r="I3423" t="s">
        <v>80</v>
      </c>
      <c r="J3423" t="s">
        <v>91</v>
      </c>
      <c r="K3423" t="s">
        <v>78</v>
      </c>
      <c r="L3423" t="s">
        <v>168</v>
      </c>
      <c r="M3423" t="s">
        <v>169</v>
      </c>
      <c r="N3423" t="s">
        <v>873</v>
      </c>
      <c r="O3423" t="s">
        <v>95</v>
      </c>
      <c r="P3423" t="str">
        <f>"4170066655                    "</f>
        <v xml:space="preserve">4170066655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43.23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5</v>
      </c>
      <c r="BJ3423">
        <v>3.6</v>
      </c>
      <c r="BK3423">
        <v>5</v>
      </c>
      <c r="BL3423">
        <v>143.08000000000001</v>
      </c>
      <c r="BM3423">
        <v>21.46</v>
      </c>
      <c r="BN3423">
        <v>164.54</v>
      </c>
      <c r="BO3423">
        <v>164.54</v>
      </c>
      <c r="BQ3423" t="s">
        <v>874</v>
      </c>
      <c r="BR3423" t="s">
        <v>97</v>
      </c>
      <c r="BS3423" t="s">
        <v>2659</v>
      </c>
      <c r="BY3423">
        <v>17920</v>
      </c>
      <c r="CC3423" t="s">
        <v>169</v>
      </c>
      <c r="CD3423" s="5" t="s">
        <v>877</v>
      </c>
      <c r="CE3423" t="s">
        <v>107</v>
      </c>
      <c r="CI3423">
        <v>1</v>
      </c>
      <c r="CJ3423" t="s">
        <v>2659</v>
      </c>
      <c r="CK3423">
        <v>41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"080068821197"</f>
        <v>080068821197</v>
      </c>
      <c r="F3424" s="3">
        <v>45959</v>
      </c>
      <c r="G3424">
        <v>202607</v>
      </c>
      <c r="H3424" t="s">
        <v>79</v>
      </c>
      <c r="I3424" t="s">
        <v>80</v>
      </c>
      <c r="J3424" t="s">
        <v>91</v>
      </c>
      <c r="K3424" t="s">
        <v>78</v>
      </c>
      <c r="L3424" t="s">
        <v>333</v>
      </c>
      <c r="M3424" t="s">
        <v>334</v>
      </c>
      <c r="N3424" t="s">
        <v>794</v>
      </c>
      <c r="O3424" t="s">
        <v>95</v>
      </c>
      <c r="P3424" t="str">
        <f>"4170066621                    "</f>
        <v xml:space="preserve">4170066621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52.15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19.2</v>
      </c>
      <c r="BJ3424">
        <v>4.9000000000000004</v>
      </c>
      <c r="BK3424">
        <v>20</v>
      </c>
      <c r="BL3424">
        <v>171.4</v>
      </c>
      <c r="BM3424">
        <v>25.71</v>
      </c>
      <c r="BN3424">
        <v>197.11</v>
      </c>
      <c r="BO3424">
        <v>197.11</v>
      </c>
      <c r="BQ3424" t="s">
        <v>795</v>
      </c>
      <c r="BR3424" t="s">
        <v>97</v>
      </c>
      <c r="BS3424" t="s">
        <v>2659</v>
      </c>
      <c r="BY3424">
        <v>24294.6</v>
      </c>
      <c r="CC3424" t="s">
        <v>334</v>
      </c>
      <c r="CD3424">
        <v>6220</v>
      </c>
      <c r="CE3424" t="s">
        <v>191</v>
      </c>
      <c r="CI3424">
        <v>3</v>
      </c>
      <c r="CJ3424" t="s">
        <v>2659</v>
      </c>
      <c r="CK3424">
        <v>41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"080068821238"</f>
        <v>080068821238</v>
      </c>
      <c r="F3425" s="3">
        <v>45959</v>
      </c>
      <c r="G3425">
        <v>202607</v>
      </c>
      <c r="H3425" t="s">
        <v>79</v>
      </c>
      <c r="I3425" t="s">
        <v>80</v>
      </c>
      <c r="J3425" t="s">
        <v>91</v>
      </c>
      <c r="K3425" t="s">
        <v>78</v>
      </c>
      <c r="L3425" t="s">
        <v>121</v>
      </c>
      <c r="M3425" t="s">
        <v>122</v>
      </c>
      <c r="N3425" t="s">
        <v>3597</v>
      </c>
      <c r="O3425" t="s">
        <v>82</v>
      </c>
      <c r="P3425" t="str">
        <f>"4170066604                    "</f>
        <v xml:space="preserve">4170066604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44.69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4</v>
      </c>
      <c r="BJ3425">
        <v>3.1</v>
      </c>
      <c r="BK3425">
        <v>4</v>
      </c>
      <c r="BL3425">
        <v>141.85</v>
      </c>
      <c r="BM3425">
        <v>21.28</v>
      </c>
      <c r="BN3425">
        <v>163.13</v>
      </c>
      <c r="BO3425">
        <v>163.13</v>
      </c>
      <c r="BQ3425" t="s">
        <v>3598</v>
      </c>
      <c r="BR3425" t="s">
        <v>97</v>
      </c>
      <c r="BS3425" s="3">
        <v>45960</v>
      </c>
      <c r="BT3425" s="4">
        <v>0.37430555555555556</v>
      </c>
      <c r="BU3425" t="s">
        <v>3599</v>
      </c>
      <c r="BV3425" t="s">
        <v>86</v>
      </c>
      <c r="BY3425">
        <v>15360</v>
      </c>
      <c r="CA3425" t="s">
        <v>157</v>
      </c>
      <c r="CC3425" t="s">
        <v>122</v>
      </c>
      <c r="CD3425">
        <v>4052</v>
      </c>
      <c r="CE3425" t="s">
        <v>191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"080068821269"</f>
        <v>080068821269</v>
      </c>
      <c r="F3426" s="3">
        <v>45959</v>
      </c>
      <c r="G3426">
        <v>202607</v>
      </c>
      <c r="H3426" t="s">
        <v>79</v>
      </c>
      <c r="I3426" t="s">
        <v>80</v>
      </c>
      <c r="J3426" t="s">
        <v>91</v>
      </c>
      <c r="K3426" t="s">
        <v>78</v>
      </c>
      <c r="L3426" t="s">
        <v>79</v>
      </c>
      <c r="M3426" t="s">
        <v>80</v>
      </c>
      <c r="N3426" t="s">
        <v>2452</v>
      </c>
      <c r="O3426" t="s">
        <v>82</v>
      </c>
      <c r="P3426" t="str">
        <f>"4170066617                    "</f>
        <v xml:space="preserve">4170066617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17.46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2</v>
      </c>
      <c r="BJ3426">
        <v>1.8</v>
      </c>
      <c r="BK3426">
        <v>2</v>
      </c>
      <c r="BL3426">
        <v>55.42</v>
      </c>
      <c r="BM3426">
        <v>8.31</v>
      </c>
      <c r="BN3426">
        <v>63.73</v>
      </c>
      <c r="BO3426">
        <v>63.73</v>
      </c>
      <c r="BQ3426" t="s">
        <v>2453</v>
      </c>
      <c r="BR3426" t="s">
        <v>97</v>
      </c>
      <c r="BS3426" t="s">
        <v>2659</v>
      </c>
      <c r="BW3426" t="s">
        <v>2649</v>
      </c>
      <c r="BX3426" t="s">
        <v>677</v>
      </c>
      <c r="BY3426">
        <v>8816</v>
      </c>
      <c r="CC3426" t="s">
        <v>80</v>
      </c>
      <c r="CD3426">
        <v>1645</v>
      </c>
      <c r="CE3426" t="s">
        <v>191</v>
      </c>
      <c r="CI3426">
        <v>1</v>
      </c>
      <c r="CJ3426" t="s">
        <v>2659</v>
      </c>
      <c r="CK3426">
        <v>22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"080068821349"</f>
        <v>080068821349</v>
      </c>
      <c r="F3427" s="3">
        <v>45959</v>
      </c>
      <c r="G3427">
        <v>202607</v>
      </c>
      <c r="H3427" t="s">
        <v>79</v>
      </c>
      <c r="I3427" t="s">
        <v>80</v>
      </c>
      <c r="J3427" t="s">
        <v>91</v>
      </c>
      <c r="K3427" t="s">
        <v>78</v>
      </c>
      <c r="L3427" t="s">
        <v>79</v>
      </c>
      <c r="M3427" t="s">
        <v>80</v>
      </c>
      <c r="N3427" t="s">
        <v>911</v>
      </c>
      <c r="O3427" t="s">
        <v>226</v>
      </c>
      <c r="P3427" t="str">
        <f>"4170066605                    "</f>
        <v xml:space="preserve">4170066605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19.43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2</v>
      </c>
      <c r="BI3427">
        <v>9</v>
      </c>
      <c r="BJ3427">
        <v>6.6</v>
      </c>
      <c r="BK3427">
        <v>9</v>
      </c>
      <c r="BL3427">
        <v>61.66</v>
      </c>
      <c r="BM3427">
        <v>9.25</v>
      </c>
      <c r="BN3427">
        <v>70.91</v>
      </c>
      <c r="BO3427">
        <v>70.91</v>
      </c>
      <c r="BQ3427" t="s">
        <v>912</v>
      </c>
      <c r="BR3427" t="s">
        <v>97</v>
      </c>
      <c r="BS3427" t="s">
        <v>2659</v>
      </c>
      <c r="BY3427">
        <v>33056</v>
      </c>
      <c r="CC3427" t="s">
        <v>80</v>
      </c>
      <c r="CD3427">
        <v>1665</v>
      </c>
      <c r="CE3427" t="s">
        <v>191</v>
      </c>
      <c r="CI3427">
        <v>1</v>
      </c>
      <c r="CJ3427" t="s">
        <v>2659</v>
      </c>
      <c r="CK3427">
        <v>32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"080068821397"</f>
        <v>080068821397</v>
      </c>
      <c r="F3428" s="3">
        <v>45959</v>
      </c>
      <c r="G3428">
        <v>202607</v>
      </c>
      <c r="H3428" t="s">
        <v>79</v>
      </c>
      <c r="I3428" t="s">
        <v>80</v>
      </c>
      <c r="J3428" t="s">
        <v>91</v>
      </c>
      <c r="K3428" t="s">
        <v>78</v>
      </c>
      <c r="L3428" t="s">
        <v>108</v>
      </c>
      <c r="M3428" t="s">
        <v>109</v>
      </c>
      <c r="N3428" t="s">
        <v>440</v>
      </c>
      <c r="O3428" t="s">
        <v>82</v>
      </c>
      <c r="P3428" t="str">
        <f>"4170066583                    "</f>
        <v xml:space="preserve">4170066583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111.71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7</v>
      </c>
      <c r="BJ3428">
        <v>10</v>
      </c>
      <c r="BK3428">
        <v>10</v>
      </c>
      <c r="BL3428">
        <v>354.55</v>
      </c>
      <c r="BM3428">
        <v>53.18</v>
      </c>
      <c r="BN3428">
        <v>407.73</v>
      </c>
      <c r="BO3428">
        <v>407.73</v>
      </c>
      <c r="BQ3428" t="s">
        <v>441</v>
      </c>
      <c r="BR3428" t="s">
        <v>97</v>
      </c>
      <c r="BS3428" s="3">
        <v>45960</v>
      </c>
      <c r="BT3428" s="4">
        <v>0.38541666666666669</v>
      </c>
      <c r="BU3428" t="s">
        <v>2995</v>
      </c>
      <c r="BV3428" t="s">
        <v>86</v>
      </c>
      <c r="BY3428">
        <v>50160</v>
      </c>
      <c r="CA3428" t="s">
        <v>113</v>
      </c>
      <c r="CC3428" t="s">
        <v>109</v>
      </c>
      <c r="CD3428">
        <v>6001</v>
      </c>
      <c r="CE3428" t="s">
        <v>191</v>
      </c>
      <c r="CI3428">
        <v>1</v>
      </c>
      <c r="CJ3428">
        <v>1</v>
      </c>
      <c r="CK3428">
        <v>21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"080068821399"</f>
        <v>080068821399</v>
      </c>
      <c r="F3429" s="3">
        <v>45959</v>
      </c>
      <c r="G3429">
        <v>202607</v>
      </c>
      <c r="H3429" t="s">
        <v>79</v>
      </c>
      <c r="I3429" t="s">
        <v>80</v>
      </c>
      <c r="J3429" t="s">
        <v>91</v>
      </c>
      <c r="K3429" t="s">
        <v>78</v>
      </c>
      <c r="L3429" t="s">
        <v>121</v>
      </c>
      <c r="M3429" t="s">
        <v>122</v>
      </c>
      <c r="N3429" t="s">
        <v>707</v>
      </c>
      <c r="O3429" t="s">
        <v>82</v>
      </c>
      <c r="P3429" t="str">
        <f>"4170066569                    "</f>
        <v xml:space="preserve">4170066569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22.36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70.959999999999994</v>
      </c>
      <c r="BM3429">
        <v>10.64</v>
      </c>
      <c r="BN3429">
        <v>81.599999999999994</v>
      </c>
      <c r="BO3429">
        <v>81.599999999999994</v>
      </c>
      <c r="BQ3429" t="s">
        <v>708</v>
      </c>
      <c r="BR3429" t="s">
        <v>97</v>
      </c>
      <c r="BS3429" s="3">
        <v>45960</v>
      </c>
      <c r="BT3429" s="4">
        <v>0.38680555555555557</v>
      </c>
      <c r="BU3429" t="s">
        <v>709</v>
      </c>
      <c r="BV3429" t="s">
        <v>86</v>
      </c>
      <c r="BY3429">
        <v>1200</v>
      </c>
      <c r="CA3429" t="s">
        <v>651</v>
      </c>
      <c r="CC3429" t="s">
        <v>122</v>
      </c>
      <c r="CD3429">
        <v>4001</v>
      </c>
      <c r="CE3429" t="s">
        <v>147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"080068821426"</f>
        <v>080068821426</v>
      </c>
      <c r="F3430" s="3">
        <v>45959</v>
      </c>
      <c r="G3430">
        <v>202607</v>
      </c>
      <c r="H3430" t="s">
        <v>79</v>
      </c>
      <c r="I3430" t="s">
        <v>80</v>
      </c>
      <c r="J3430" t="s">
        <v>91</v>
      </c>
      <c r="K3430" t="s">
        <v>78</v>
      </c>
      <c r="L3430" t="s">
        <v>763</v>
      </c>
      <c r="M3430" t="s">
        <v>764</v>
      </c>
      <c r="N3430" t="s">
        <v>765</v>
      </c>
      <c r="O3430" t="s">
        <v>82</v>
      </c>
      <c r="P3430" t="str">
        <f>"4170066568                    "</f>
        <v xml:space="preserve">4170066568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43.31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0.2</v>
      </c>
      <c r="BJ3430">
        <v>1.3</v>
      </c>
      <c r="BK3430">
        <v>1.5</v>
      </c>
      <c r="BL3430">
        <v>137.47</v>
      </c>
      <c r="BM3430">
        <v>20.62</v>
      </c>
      <c r="BN3430">
        <v>158.09</v>
      </c>
      <c r="BO3430">
        <v>158.09</v>
      </c>
      <c r="BQ3430" t="s">
        <v>766</v>
      </c>
      <c r="BR3430" t="s">
        <v>97</v>
      </c>
      <c r="BS3430" s="3">
        <v>45960</v>
      </c>
      <c r="BT3430" s="4">
        <v>0.50763888888888886</v>
      </c>
      <c r="BU3430" t="s">
        <v>3600</v>
      </c>
      <c r="BV3430" t="s">
        <v>86</v>
      </c>
      <c r="BY3430">
        <v>6354</v>
      </c>
      <c r="CA3430" t="s">
        <v>768</v>
      </c>
      <c r="CC3430" t="s">
        <v>764</v>
      </c>
      <c r="CD3430">
        <v>2531</v>
      </c>
      <c r="CE3430" t="s">
        <v>147</v>
      </c>
      <c r="CI3430">
        <v>1</v>
      </c>
      <c r="CJ3430">
        <v>1</v>
      </c>
      <c r="CK3430">
        <v>23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"080068821427"</f>
        <v>080068821427</v>
      </c>
      <c r="F3431" s="3">
        <v>45959</v>
      </c>
      <c r="G3431">
        <v>202607</v>
      </c>
      <c r="H3431" t="s">
        <v>79</v>
      </c>
      <c r="I3431" t="s">
        <v>80</v>
      </c>
      <c r="J3431" t="s">
        <v>91</v>
      </c>
      <c r="K3431" t="s">
        <v>78</v>
      </c>
      <c r="L3431" t="s">
        <v>206</v>
      </c>
      <c r="M3431" t="s">
        <v>207</v>
      </c>
      <c r="N3431" t="s">
        <v>458</v>
      </c>
      <c r="O3431" t="s">
        <v>82</v>
      </c>
      <c r="P3431" t="str">
        <f>"4170066587                    "</f>
        <v xml:space="preserve">4170066587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50.28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4</v>
      </c>
      <c r="BJ3431">
        <v>4.2</v>
      </c>
      <c r="BK3431">
        <v>4.5</v>
      </c>
      <c r="BL3431">
        <v>159.58000000000001</v>
      </c>
      <c r="BM3431">
        <v>23.94</v>
      </c>
      <c r="BN3431">
        <v>183.52</v>
      </c>
      <c r="BO3431">
        <v>183.52</v>
      </c>
      <c r="BQ3431" t="s">
        <v>459</v>
      </c>
      <c r="BR3431" t="s">
        <v>97</v>
      </c>
      <c r="BS3431" s="3">
        <v>45960</v>
      </c>
      <c r="BT3431" s="4">
        <v>0.41944444444444445</v>
      </c>
      <c r="BU3431" t="s">
        <v>2901</v>
      </c>
      <c r="BV3431" t="s">
        <v>86</v>
      </c>
      <c r="BY3431">
        <v>21160</v>
      </c>
      <c r="CA3431" t="s">
        <v>461</v>
      </c>
      <c r="CC3431" t="s">
        <v>207</v>
      </c>
      <c r="CD3431">
        <v>7530</v>
      </c>
      <c r="CE3431" t="s">
        <v>191</v>
      </c>
      <c r="CI3431">
        <v>1</v>
      </c>
      <c r="CJ3431">
        <v>1</v>
      </c>
      <c r="CK3431">
        <v>21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"080068821451"</f>
        <v>080068821451</v>
      </c>
      <c r="F3432" s="3">
        <v>45959</v>
      </c>
      <c r="G3432">
        <v>202607</v>
      </c>
      <c r="H3432" t="s">
        <v>79</v>
      </c>
      <c r="I3432" t="s">
        <v>80</v>
      </c>
      <c r="J3432" t="s">
        <v>91</v>
      </c>
      <c r="K3432" t="s">
        <v>78</v>
      </c>
      <c r="L3432" t="s">
        <v>79</v>
      </c>
      <c r="M3432" t="s">
        <v>80</v>
      </c>
      <c r="N3432" t="s">
        <v>3601</v>
      </c>
      <c r="O3432" t="s">
        <v>82</v>
      </c>
      <c r="P3432" t="str">
        <f>"4170066550                    "</f>
        <v xml:space="preserve">4170066550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17.46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55.42</v>
      </c>
      <c r="BM3432">
        <v>8.31</v>
      </c>
      <c r="BN3432">
        <v>63.73</v>
      </c>
      <c r="BO3432">
        <v>63.73</v>
      </c>
      <c r="BQ3432" t="s">
        <v>3602</v>
      </c>
      <c r="BR3432" t="s">
        <v>97</v>
      </c>
      <c r="BS3432" s="3">
        <v>45960</v>
      </c>
      <c r="BT3432" s="4">
        <v>0.31736111111111109</v>
      </c>
      <c r="BU3432" t="s">
        <v>3603</v>
      </c>
      <c r="BV3432" t="s">
        <v>86</v>
      </c>
      <c r="BY3432">
        <v>1200</v>
      </c>
      <c r="CA3432" t="s">
        <v>88</v>
      </c>
      <c r="CC3432" t="s">
        <v>80</v>
      </c>
      <c r="CD3432">
        <v>1600</v>
      </c>
      <c r="CE3432" t="s">
        <v>147</v>
      </c>
      <c r="CI3432">
        <v>1</v>
      </c>
      <c r="CJ3432">
        <v>1</v>
      </c>
      <c r="CK3432">
        <v>22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"080068821461"</f>
        <v>080068821461</v>
      </c>
      <c r="F3433" s="3">
        <v>45959</v>
      </c>
      <c r="G3433">
        <v>202607</v>
      </c>
      <c r="H3433" t="s">
        <v>79</v>
      </c>
      <c r="I3433" t="s">
        <v>80</v>
      </c>
      <c r="J3433" t="s">
        <v>91</v>
      </c>
      <c r="K3433" t="s">
        <v>78</v>
      </c>
      <c r="L3433" t="s">
        <v>206</v>
      </c>
      <c r="M3433" t="s">
        <v>207</v>
      </c>
      <c r="N3433" t="s">
        <v>458</v>
      </c>
      <c r="O3433" t="s">
        <v>82</v>
      </c>
      <c r="P3433" t="str">
        <f>"4170066586                    "</f>
        <v xml:space="preserve">4170066586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50.28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4</v>
      </c>
      <c r="BJ3433">
        <v>4.2</v>
      </c>
      <c r="BK3433">
        <v>4.5</v>
      </c>
      <c r="BL3433">
        <v>159.58000000000001</v>
      </c>
      <c r="BM3433">
        <v>23.94</v>
      </c>
      <c r="BN3433">
        <v>183.52</v>
      </c>
      <c r="BO3433">
        <v>183.52</v>
      </c>
      <c r="BQ3433" t="s">
        <v>459</v>
      </c>
      <c r="BR3433" t="s">
        <v>97</v>
      </c>
      <c r="BS3433" s="3">
        <v>45960</v>
      </c>
      <c r="BT3433" s="4">
        <v>0.41944444444444445</v>
      </c>
      <c r="BU3433" t="s">
        <v>2901</v>
      </c>
      <c r="BV3433" t="s">
        <v>86</v>
      </c>
      <c r="BY3433">
        <v>21160</v>
      </c>
      <c r="CA3433" t="s">
        <v>461</v>
      </c>
      <c r="CC3433" t="s">
        <v>207</v>
      </c>
      <c r="CD3433">
        <v>7530</v>
      </c>
      <c r="CE3433" t="s">
        <v>191</v>
      </c>
      <c r="CI3433">
        <v>1</v>
      </c>
      <c r="CJ3433">
        <v>1</v>
      </c>
      <c r="CK3433">
        <v>21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"080068821470"</f>
        <v>080068821470</v>
      </c>
      <c r="F3434" s="3">
        <v>45959</v>
      </c>
      <c r="G3434">
        <v>202607</v>
      </c>
      <c r="H3434" t="s">
        <v>79</v>
      </c>
      <c r="I3434" t="s">
        <v>80</v>
      </c>
      <c r="J3434" t="s">
        <v>91</v>
      </c>
      <c r="K3434" t="s">
        <v>78</v>
      </c>
      <c r="L3434" t="s">
        <v>180</v>
      </c>
      <c r="M3434" t="s">
        <v>181</v>
      </c>
      <c r="N3434" t="s">
        <v>3604</v>
      </c>
      <c r="O3434" t="s">
        <v>82</v>
      </c>
      <c r="P3434" t="str">
        <f>"4170066630                    "</f>
        <v xml:space="preserve">4170066630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43.31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0.2</v>
      </c>
      <c r="BJ3434">
        <v>1.4</v>
      </c>
      <c r="BK3434">
        <v>1.5</v>
      </c>
      <c r="BL3434">
        <v>137.47</v>
      </c>
      <c r="BM3434">
        <v>20.62</v>
      </c>
      <c r="BN3434">
        <v>158.09</v>
      </c>
      <c r="BO3434">
        <v>158.09</v>
      </c>
      <c r="BQ3434" t="s">
        <v>3605</v>
      </c>
      <c r="BR3434" t="s">
        <v>97</v>
      </c>
      <c r="BS3434" t="s">
        <v>2659</v>
      </c>
      <c r="BY3434">
        <v>7153.92</v>
      </c>
      <c r="CC3434" t="s">
        <v>181</v>
      </c>
      <c r="CD3434">
        <v>1020</v>
      </c>
      <c r="CE3434" t="s">
        <v>147</v>
      </c>
      <c r="CI3434">
        <v>1</v>
      </c>
      <c r="CJ3434" t="s">
        <v>2659</v>
      </c>
      <c r="CK3434">
        <v>23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"080068821483"</f>
        <v>080068821483</v>
      </c>
      <c r="F3435" s="3">
        <v>45959</v>
      </c>
      <c r="G3435">
        <v>202607</v>
      </c>
      <c r="H3435" t="s">
        <v>79</v>
      </c>
      <c r="I3435" t="s">
        <v>80</v>
      </c>
      <c r="J3435" t="s">
        <v>91</v>
      </c>
      <c r="K3435" t="s">
        <v>78</v>
      </c>
      <c r="L3435" t="s">
        <v>959</v>
      </c>
      <c r="M3435" t="s">
        <v>960</v>
      </c>
      <c r="N3435" t="s">
        <v>961</v>
      </c>
      <c r="O3435" t="s">
        <v>82</v>
      </c>
      <c r="P3435" t="str">
        <f>"4170066606                    "</f>
        <v xml:space="preserve">4170066606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92.21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2</v>
      </c>
      <c r="BJ3435">
        <v>4.0999999999999996</v>
      </c>
      <c r="BK3435">
        <v>4.5</v>
      </c>
      <c r="BL3435">
        <v>292.67</v>
      </c>
      <c r="BM3435">
        <v>43.9</v>
      </c>
      <c r="BN3435">
        <v>336.57</v>
      </c>
      <c r="BO3435">
        <v>336.57</v>
      </c>
      <c r="BQ3435" t="s">
        <v>962</v>
      </c>
      <c r="BR3435" t="s">
        <v>97</v>
      </c>
      <c r="BS3435" t="s">
        <v>2659</v>
      </c>
      <c r="BY3435">
        <v>20358</v>
      </c>
      <c r="CC3435" t="s">
        <v>960</v>
      </c>
      <c r="CD3435">
        <v>6300</v>
      </c>
      <c r="CE3435" t="s">
        <v>191</v>
      </c>
      <c r="CI3435">
        <v>2</v>
      </c>
      <c r="CJ3435" t="s">
        <v>2659</v>
      </c>
      <c r="CK3435">
        <v>23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"080068821489"</f>
        <v>080068821489</v>
      </c>
      <c r="F3436" s="3">
        <v>45959</v>
      </c>
      <c r="G3436">
        <v>202607</v>
      </c>
      <c r="H3436" t="s">
        <v>79</v>
      </c>
      <c r="I3436" t="s">
        <v>80</v>
      </c>
      <c r="J3436" t="s">
        <v>91</v>
      </c>
      <c r="K3436" t="s">
        <v>78</v>
      </c>
      <c r="L3436" t="s">
        <v>108</v>
      </c>
      <c r="M3436" t="s">
        <v>109</v>
      </c>
      <c r="N3436" t="s">
        <v>2125</v>
      </c>
      <c r="O3436" t="s">
        <v>82</v>
      </c>
      <c r="P3436" t="str">
        <f>"4170066597                    "</f>
        <v xml:space="preserve">4170066597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78.2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6</v>
      </c>
      <c r="BJ3436">
        <v>6.8</v>
      </c>
      <c r="BK3436">
        <v>7</v>
      </c>
      <c r="BL3436">
        <v>248.2</v>
      </c>
      <c r="BM3436">
        <v>37.229999999999997</v>
      </c>
      <c r="BN3436">
        <v>285.43</v>
      </c>
      <c r="BO3436">
        <v>285.43</v>
      </c>
      <c r="BQ3436" t="s">
        <v>2126</v>
      </c>
      <c r="BR3436" t="s">
        <v>97</v>
      </c>
      <c r="BS3436" s="3">
        <v>45960</v>
      </c>
      <c r="BT3436" s="4">
        <v>0.41666666666666669</v>
      </c>
      <c r="BU3436" t="s">
        <v>3606</v>
      </c>
      <c r="BV3436" t="s">
        <v>86</v>
      </c>
      <c r="BY3436">
        <v>33880</v>
      </c>
      <c r="CA3436" t="s">
        <v>818</v>
      </c>
      <c r="CC3436" t="s">
        <v>109</v>
      </c>
      <c r="CD3436">
        <v>6001</v>
      </c>
      <c r="CE3436" t="s">
        <v>191</v>
      </c>
      <c r="CI3436">
        <v>1</v>
      </c>
      <c r="CJ3436">
        <v>1</v>
      </c>
      <c r="CK3436">
        <v>21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"080068821515"</f>
        <v>080068821515</v>
      </c>
      <c r="F3437" s="3">
        <v>45959</v>
      </c>
      <c r="G3437">
        <v>202607</v>
      </c>
      <c r="H3437" t="s">
        <v>79</v>
      </c>
      <c r="I3437" t="s">
        <v>80</v>
      </c>
      <c r="J3437" t="s">
        <v>91</v>
      </c>
      <c r="K3437" t="s">
        <v>78</v>
      </c>
      <c r="L3437" t="s">
        <v>265</v>
      </c>
      <c r="M3437" t="s">
        <v>266</v>
      </c>
      <c r="N3437" t="s">
        <v>2233</v>
      </c>
      <c r="O3437" t="s">
        <v>82</v>
      </c>
      <c r="P3437" t="str">
        <f>"4170066613                    "</f>
        <v xml:space="preserve">4170066613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44.69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2</v>
      </c>
      <c r="BJ3437">
        <v>3.8</v>
      </c>
      <c r="BK3437">
        <v>4</v>
      </c>
      <c r="BL3437">
        <v>141.85</v>
      </c>
      <c r="BM3437">
        <v>21.28</v>
      </c>
      <c r="BN3437">
        <v>163.13</v>
      </c>
      <c r="BO3437">
        <v>163.13</v>
      </c>
      <c r="BQ3437" t="s">
        <v>2234</v>
      </c>
      <c r="BR3437" t="s">
        <v>97</v>
      </c>
      <c r="BS3437" s="3">
        <v>45960</v>
      </c>
      <c r="BT3437" s="4">
        <v>0.33958333333333335</v>
      </c>
      <c r="BU3437" t="s">
        <v>2235</v>
      </c>
      <c r="BV3437" t="s">
        <v>86</v>
      </c>
      <c r="BY3437">
        <v>19227</v>
      </c>
      <c r="CA3437" t="s">
        <v>818</v>
      </c>
      <c r="CC3437" t="s">
        <v>266</v>
      </c>
      <c r="CD3437">
        <v>6229</v>
      </c>
      <c r="CE3437" t="s">
        <v>191</v>
      </c>
      <c r="CI3437">
        <v>1</v>
      </c>
      <c r="CJ3437">
        <v>1</v>
      </c>
      <c r="CK3437">
        <v>21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"080068821523"</f>
        <v>080068821523</v>
      </c>
      <c r="F3438" s="3">
        <v>45959</v>
      </c>
      <c r="G3438">
        <v>202607</v>
      </c>
      <c r="H3438" t="s">
        <v>79</v>
      </c>
      <c r="I3438" t="s">
        <v>80</v>
      </c>
      <c r="J3438" t="s">
        <v>91</v>
      </c>
      <c r="K3438" t="s">
        <v>78</v>
      </c>
      <c r="L3438" t="s">
        <v>223</v>
      </c>
      <c r="M3438" t="s">
        <v>224</v>
      </c>
      <c r="N3438" t="s">
        <v>1729</v>
      </c>
      <c r="O3438" t="s">
        <v>82</v>
      </c>
      <c r="P3438" t="str">
        <f>"4170066619                    "</f>
        <v xml:space="preserve">4170066619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17.46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4.0999999999999996</v>
      </c>
      <c r="BK3438">
        <v>5</v>
      </c>
      <c r="BL3438">
        <v>55.42</v>
      </c>
      <c r="BM3438">
        <v>8.31</v>
      </c>
      <c r="BN3438">
        <v>63.73</v>
      </c>
      <c r="BO3438">
        <v>63.73</v>
      </c>
      <c r="BQ3438" t="s">
        <v>1730</v>
      </c>
      <c r="BR3438" t="s">
        <v>97</v>
      </c>
      <c r="BS3438" s="3">
        <v>45960</v>
      </c>
      <c r="BT3438" s="4">
        <v>0.35486111111111113</v>
      </c>
      <c r="BU3438" t="s">
        <v>3607</v>
      </c>
      <c r="BV3438" t="s">
        <v>86</v>
      </c>
      <c r="BY3438">
        <v>20358</v>
      </c>
      <c r="CA3438" t="s">
        <v>1459</v>
      </c>
      <c r="CC3438" t="s">
        <v>224</v>
      </c>
      <c r="CD3438">
        <v>1459</v>
      </c>
      <c r="CE3438" t="s">
        <v>191</v>
      </c>
      <c r="CI3438">
        <v>1</v>
      </c>
      <c r="CJ3438">
        <v>1</v>
      </c>
      <c r="CK3438">
        <v>22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"080068821542"</f>
        <v>080068821542</v>
      </c>
      <c r="F3439" s="3">
        <v>45959</v>
      </c>
      <c r="G3439">
        <v>202607</v>
      </c>
      <c r="H3439" t="s">
        <v>79</v>
      </c>
      <c r="I3439" t="s">
        <v>80</v>
      </c>
      <c r="J3439" t="s">
        <v>91</v>
      </c>
      <c r="K3439" t="s">
        <v>78</v>
      </c>
      <c r="L3439" t="s">
        <v>206</v>
      </c>
      <c r="M3439" t="s">
        <v>207</v>
      </c>
      <c r="N3439" t="s">
        <v>458</v>
      </c>
      <c r="O3439" t="s">
        <v>82</v>
      </c>
      <c r="P3439" t="str">
        <f>"4170066614                    "</f>
        <v xml:space="preserve">4170066614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50.28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4.0999999999999996</v>
      </c>
      <c r="BK3439">
        <v>4.5</v>
      </c>
      <c r="BL3439">
        <v>159.58000000000001</v>
      </c>
      <c r="BM3439">
        <v>23.94</v>
      </c>
      <c r="BN3439">
        <v>183.52</v>
      </c>
      <c r="BO3439">
        <v>183.52</v>
      </c>
      <c r="BQ3439" t="s">
        <v>459</v>
      </c>
      <c r="BR3439" t="s">
        <v>97</v>
      </c>
      <c r="BS3439" s="3">
        <v>45960</v>
      </c>
      <c r="BT3439" s="4">
        <v>0.41944444444444445</v>
      </c>
      <c r="BU3439" t="s">
        <v>2901</v>
      </c>
      <c r="BV3439" t="s">
        <v>86</v>
      </c>
      <c r="BY3439">
        <v>20358</v>
      </c>
      <c r="CA3439" t="s">
        <v>461</v>
      </c>
      <c r="CC3439" t="s">
        <v>207</v>
      </c>
      <c r="CD3439">
        <v>7530</v>
      </c>
      <c r="CE3439" t="s">
        <v>191</v>
      </c>
      <c r="CI3439">
        <v>1</v>
      </c>
      <c r="CJ3439">
        <v>1</v>
      </c>
      <c r="CK3439">
        <v>21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"080068821539"</f>
        <v>080068821539</v>
      </c>
      <c r="F3440" s="3">
        <v>45959</v>
      </c>
      <c r="G3440">
        <v>202607</v>
      </c>
      <c r="H3440" t="s">
        <v>79</v>
      </c>
      <c r="I3440" t="s">
        <v>80</v>
      </c>
      <c r="J3440" t="s">
        <v>91</v>
      </c>
      <c r="K3440" t="s">
        <v>78</v>
      </c>
      <c r="L3440" t="s">
        <v>233</v>
      </c>
      <c r="M3440" t="s">
        <v>234</v>
      </c>
      <c r="N3440" t="s">
        <v>1066</v>
      </c>
      <c r="O3440" t="s">
        <v>82</v>
      </c>
      <c r="P3440" t="str">
        <f>"4170066574                    "</f>
        <v xml:space="preserve">4170066574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22.36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1.1000000000000001</v>
      </c>
      <c r="BK3440">
        <v>2</v>
      </c>
      <c r="BL3440">
        <v>70.959999999999994</v>
      </c>
      <c r="BM3440">
        <v>10.64</v>
      </c>
      <c r="BN3440">
        <v>81.599999999999994</v>
      </c>
      <c r="BO3440">
        <v>81.599999999999994</v>
      </c>
      <c r="BQ3440" t="s">
        <v>1067</v>
      </c>
      <c r="BR3440" t="s">
        <v>97</v>
      </c>
      <c r="BS3440" s="3">
        <v>45960</v>
      </c>
      <c r="BT3440" s="4">
        <v>0.35416666666666669</v>
      </c>
      <c r="BU3440" t="s">
        <v>1068</v>
      </c>
      <c r="BV3440" t="s">
        <v>86</v>
      </c>
      <c r="BY3440">
        <v>5510</v>
      </c>
      <c r="CA3440">
        <v>7104145194083</v>
      </c>
      <c r="CC3440" t="s">
        <v>234</v>
      </c>
      <c r="CD3440" s="5" t="s">
        <v>238</v>
      </c>
      <c r="CE3440" t="s">
        <v>191</v>
      </c>
      <c r="CI3440">
        <v>1</v>
      </c>
      <c r="CJ3440">
        <v>1</v>
      </c>
      <c r="CK3440">
        <v>21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"080068821584"</f>
        <v>080068821584</v>
      </c>
      <c r="F3441" s="3">
        <v>45959</v>
      </c>
      <c r="G3441">
        <v>202607</v>
      </c>
      <c r="H3441" t="s">
        <v>79</v>
      </c>
      <c r="I3441" t="s">
        <v>80</v>
      </c>
      <c r="J3441" t="s">
        <v>91</v>
      </c>
      <c r="K3441" t="s">
        <v>78</v>
      </c>
      <c r="L3441" t="s">
        <v>168</v>
      </c>
      <c r="M3441" t="s">
        <v>169</v>
      </c>
      <c r="N3441" t="s">
        <v>1541</v>
      </c>
      <c r="O3441" t="s">
        <v>82</v>
      </c>
      <c r="P3441" t="str">
        <f>"4170066607                    "</f>
        <v xml:space="preserve">4170066607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22.36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1.8</v>
      </c>
      <c r="BK3441">
        <v>2</v>
      </c>
      <c r="BL3441">
        <v>70.959999999999994</v>
      </c>
      <c r="BM3441">
        <v>10.64</v>
      </c>
      <c r="BN3441">
        <v>81.599999999999994</v>
      </c>
      <c r="BO3441">
        <v>81.599999999999994</v>
      </c>
      <c r="BQ3441" t="s">
        <v>1542</v>
      </c>
      <c r="BR3441" t="s">
        <v>97</v>
      </c>
      <c r="BS3441" t="s">
        <v>2659</v>
      </c>
      <c r="BY3441">
        <v>8816</v>
      </c>
      <c r="CC3441" t="s">
        <v>169</v>
      </c>
      <c r="CD3441" s="5" t="s">
        <v>173</v>
      </c>
      <c r="CE3441" t="s">
        <v>191</v>
      </c>
      <c r="CI3441">
        <v>1</v>
      </c>
      <c r="CJ3441" t="s">
        <v>2659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"080068821586"</f>
        <v>080068821586</v>
      </c>
      <c r="F3442" s="3">
        <v>45959</v>
      </c>
      <c r="G3442">
        <v>202607</v>
      </c>
      <c r="H3442" t="s">
        <v>79</v>
      </c>
      <c r="I3442" t="s">
        <v>80</v>
      </c>
      <c r="J3442" t="s">
        <v>91</v>
      </c>
      <c r="K3442" t="s">
        <v>78</v>
      </c>
      <c r="L3442" t="s">
        <v>333</v>
      </c>
      <c r="M3442" t="s">
        <v>334</v>
      </c>
      <c r="N3442" t="s">
        <v>1388</v>
      </c>
      <c r="O3442" t="s">
        <v>82</v>
      </c>
      <c r="P3442" t="str">
        <f>"4170066593                    "</f>
        <v xml:space="preserve">4170066593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22.36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2</v>
      </c>
      <c r="BJ3442">
        <v>1.1000000000000001</v>
      </c>
      <c r="BK3442">
        <v>2</v>
      </c>
      <c r="BL3442">
        <v>70.959999999999994</v>
      </c>
      <c r="BM3442">
        <v>10.64</v>
      </c>
      <c r="BN3442">
        <v>81.599999999999994</v>
      </c>
      <c r="BO3442">
        <v>81.599999999999994</v>
      </c>
      <c r="BQ3442" t="s">
        <v>1389</v>
      </c>
      <c r="BR3442" t="s">
        <v>97</v>
      </c>
      <c r="BS3442" s="3">
        <v>45960</v>
      </c>
      <c r="BT3442" s="4">
        <v>0.4284722222222222</v>
      </c>
      <c r="BU3442" t="s">
        <v>3608</v>
      </c>
      <c r="BV3442" t="s">
        <v>86</v>
      </c>
      <c r="BY3442">
        <v>5320</v>
      </c>
      <c r="CA3442" t="s">
        <v>142</v>
      </c>
      <c r="CC3442" t="s">
        <v>334</v>
      </c>
      <c r="CD3442">
        <v>6220</v>
      </c>
      <c r="CE3442" t="s">
        <v>191</v>
      </c>
      <c r="CI3442">
        <v>1</v>
      </c>
      <c r="CJ3442">
        <v>1</v>
      </c>
      <c r="CK3442">
        <v>21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"080068821610"</f>
        <v>080068821610</v>
      </c>
      <c r="F3443" s="3">
        <v>45959</v>
      </c>
      <c r="G3443">
        <v>202607</v>
      </c>
      <c r="H3443" t="s">
        <v>79</v>
      </c>
      <c r="I3443" t="s">
        <v>80</v>
      </c>
      <c r="J3443" t="s">
        <v>91</v>
      </c>
      <c r="K3443" t="s">
        <v>78</v>
      </c>
      <c r="L3443" t="s">
        <v>333</v>
      </c>
      <c r="M3443" t="s">
        <v>334</v>
      </c>
      <c r="N3443" t="s">
        <v>1388</v>
      </c>
      <c r="O3443" t="s">
        <v>82</v>
      </c>
      <c r="P3443" t="str">
        <f>"4170066616                    "</f>
        <v xml:space="preserve">4170066616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44.69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3</v>
      </c>
      <c r="BJ3443">
        <v>3.7</v>
      </c>
      <c r="BK3443">
        <v>4</v>
      </c>
      <c r="BL3443">
        <v>141.85</v>
      </c>
      <c r="BM3443">
        <v>21.28</v>
      </c>
      <c r="BN3443">
        <v>163.13</v>
      </c>
      <c r="BO3443">
        <v>163.13</v>
      </c>
      <c r="BQ3443" t="s">
        <v>1389</v>
      </c>
      <c r="BR3443" t="s">
        <v>97</v>
      </c>
      <c r="BS3443" s="3">
        <v>45960</v>
      </c>
      <c r="BT3443" s="4">
        <v>0.4284722222222222</v>
      </c>
      <c r="BU3443" t="s">
        <v>2413</v>
      </c>
      <c r="BV3443" t="s">
        <v>86</v>
      </c>
      <c r="BY3443">
        <v>18304</v>
      </c>
      <c r="CA3443" t="s">
        <v>142</v>
      </c>
      <c r="CC3443" t="s">
        <v>334</v>
      </c>
      <c r="CD3443">
        <v>6220</v>
      </c>
      <c r="CE3443" t="s">
        <v>191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"080068821617"</f>
        <v>080068821617</v>
      </c>
      <c r="F3444" s="3">
        <v>45959</v>
      </c>
      <c r="G3444">
        <v>202607</v>
      </c>
      <c r="H3444" t="s">
        <v>79</v>
      </c>
      <c r="I3444" t="s">
        <v>80</v>
      </c>
      <c r="J3444" t="s">
        <v>91</v>
      </c>
      <c r="K3444" t="s">
        <v>78</v>
      </c>
      <c r="L3444" t="s">
        <v>206</v>
      </c>
      <c r="M3444" t="s">
        <v>207</v>
      </c>
      <c r="N3444" t="s">
        <v>458</v>
      </c>
      <c r="O3444" t="s">
        <v>82</v>
      </c>
      <c r="P3444" t="str">
        <f>"4170066584                    "</f>
        <v xml:space="preserve">4170066584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67.03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6</v>
      </c>
      <c r="BJ3444">
        <v>4.2</v>
      </c>
      <c r="BK3444">
        <v>6</v>
      </c>
      <c r="BL3444">
        <v>212.75</v>
      </c>
      <c r="BM3444">
        <v>31.91</v>
      </c>
      <c r="BN3444">
        <v>244.66</v>
      </c>
      <c r="BO3444">
        <v>244.66</v>
      </c>
      <c r="BQ3444" t="s">
        <v>459</v>
      </c>
      <c r="BR3444" t="s">
        <v>97</v>
      </c>
      <c r="BS3444" s="3">
        <v>45960</v>
      </c>
      <c r="BT3444" s="4">
        <v>0.41944444444444445</v>
      </c>
      <c r="BU3444" t="s">
        <v>2901</v>
      </c>
      <c r="BV3444" t="s">
        <v>86</v>
      </c>
      <c r="BY3444">
        <v>21160</v>
      </c>
      <c r="CA3444" t="s">
        <v>461</v>
      </c>
      <c r="CC3444" t="s">
        <v>207</v>
      </c>
      <c r="CD3444">
        <v>7530</v>
      </c>
      <c r="CE3444" t="s">
        <v>191</v>
      </c>
      <c r="CI3444">
        <v>1</v>
      </c>
      <c r="CJ3444">
        <v>1</v>
      </c>
      <c r="CK3444">
        <v>21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"080068821629"</f>
        <v>080068821629</v>
      </c>
      <c r="F3445" s="3">
        <v>45959</v>
      </c>
      <c r="G3445">
        <v>202607</v>
      </c>
      <c r="H3445" t="s">
        <v>79</v>
      </c>
      <c r="I3445" t="s">
        <v>80</v>
      </c>
      <c r="J3445" t="s">
        <v>91</v>
      </c>
      <c r="K3445" t="s">
        <v>78</v>
      </c>
      <c r="L3445" t="s">
        <v>79</v>
      </c>
      <c r="M3445" t="s">
        <v>80</v>
      </c>
      <c r="N3445" t="s">
        <v>965</v>
      </c>
      <c r="O3445" t="s">
        <v>226</v>
      </c>
      <c r="P3445" t="str">
        <f>"4170066615                    "</f>
        <v xml:space="preserve">4170066615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17.47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</v>
      </c>
      <c r="BJ3445">
        <v>3.2</v>
      </c>
      <c r="BK3445">
        <v>4</v>
      </c>
      <c r="BL3445">
        <v>55.44</v>
      </c>
      <c r="BM3445">
        <v>8.32</v>
      </c>
      <c r="BN3445">
        <v>63.76</v>
      </c>
      <c r="BO3445">
        <v>63.76</v>
      </c>
      <c r="BQ3445" t="s">
        <v>966</v>
      </c>
      <c r="BR3445" t="s">
        <v>97</v>
      </c>
      <c r="BS3445" t="s">
        <v>2659</v>
      </c>
      <c r="BY3445">
        <v>16128</v>
      </c>
      <c r="CC3445" t="s">
        <v>80</v>
      </c>
      <c r="CD3445">
        <v>1618</v>
      </c>
      <c r="CE3445" t="s">
        <v>191</v>
      </c>
      <c r="CI3445">
        <v>1</v>
      </c>
      <c r="CJ3445" t="s">
        <v>2659</v>
      </c>
      <c r="CK3445">
        <v>32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"080068821890"</f>
        <v>080068821890</v>
      </c>
      <c r="F3446" s="3">
        <v>45959</v>
      </c>
      <c r="G3446">
        <v>202607</v>
      </c>
      <c r="H3446" t="s">
        <v>79</v>
      </c>
      <c r="I3446" t="s">
        <v>80</v>
      </c>
      <c r="J3446" t="s">
        <v>91</v>
      </c>
      <c r="K3446" t="s">
        <v>78</v>
      </c>
      <c r="L3446" t="s">
        <v>206</v>
      </c>
      <c r="M3446" t="s">
        <v>207</v>
      </c>
      <c r="N3446" t="s">
        <v>3457</v>
      </c>
      <c r="O3446" t="s">
        <v>82</v>
      </c>
      <c r="P3446" t="str">
        <f>"4170066581                    "</f>
        <v xml:space="preserve">4170066581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22.36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70.959999999999994</v>
      </c>
      <c r="BM3446">
        <v>10.64</v>
      </c>
      <c r="BN3446">
        <v>81.599999999999994</v>
      </c>
      <c r="BO3446">
        <v>81.599999999999994</v>
      </c>
      <c r="BQ3446" t="s">
        <v>3458</v>
      </c>
      <c r="BR3446" t="s">
        <v>97</v>
      </c>
      <c r="BS3446" s="3">
        <v>45960</v>
      </c>
      <c r="BT3446" s="4">
        <v>0.40972222222222221</v>
      </c>
      <c r="BU3446" t="s">
        <v>658</v>
      </c>
      <c r="BV3446" t="s">
        <v>86</v>
      </c>
      <c r="BY3446">
        <v>1200</v>
      </c>
      <c r="CA3446" t="s">
        <v>211</v>
      </c>
      <c r="CC3446" t="s">
        <v>207</v>
      </c>
      <c r="CD3446">
        <v>7441</v>
      </c>
      <c r="CE3446" t="s">
        <v>147</v>
      </c>
      <c r="CI3446">
        <v>1</v>
      </c>
      <c r="CJ3446">
        <v>1</v>
      </c>
      <c r="CK3446">
        <v>21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"080068821893"</f>
        <v>080068821893</v>
      </c>
      <c r="F3447" s="3">
        <v>45959</v>
      </c>
      <c r="G3447">
        <v>202607</v>
      </c>
      <c r="H3447" t="s">
        <v>79</v>
      </c>
      <c r="I3447" t="s">
        <v>80</v>
      </c>
      <c r="J3447" t="s">
        <v>91</v>
      </c>
      <c r="K3447" t="s">
        <v>78</v>
      </c>
      <c r="L3447" t="s">
        <v>168</v>
      </c>
      <c r="M3447" t="s">
        <v>169</v>
      </c>
      <c r="N3447" t="s">
        <v>873</v>
      </c>
      <c r="O3447" t="s">
        <v>95</v>
      </c>
      <c r="P3447" t="str">
        <f>"4170066577                    "</f>
        <v xml:space="preserve">4170066577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43.23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4</v>
      </c>
      <c r="BJ3447">
        <v>3.9</v>
      </c>
      <c r="BK3447">
        <v>4</v>
      </c>
      <c r="BL3447">
        <v>143.08000000000001</v>
      </c>
      <c r="BM3447">
        <v>21.46</v>
      </c>
      <c r="BN3447">
        <v>164.54</v>
      </c>
      <c r="BO3447">
        <v>164.54</v>
      </c>
      <c r="BQ3447" t="s">
        <v>874</v>
      </c>
      <c r="BR3447" t="s">
        <v>97</v>
      </c>
      <c r="BS3447" t="s">
        <v>2659</v>
      </c>
      <c r="BY3447">
        <v>19456</v>
      </c>
      <c r="CC3447" t="s">
        <v>169</v>
      </c>
      <c r="CD3447" s="5" t="s">
        <v>877</v>
      </c>
      <c r="CE3447" t="s">
        <v>107</v>
      </c>
      <c r="CI3447">
        <v>1</v>
      </c>
      <c r="CJ3447" t="s">
        <v>2659</v>
      </c>
      <c r="CK3447">
        <v>41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"080068821913"</f>
        <v>080068821913</v>
      </c>
      <c r="F3448" s="3">
        <v>45959</v>
      </c>
      <c r="G3448">
        <v>202607</v>
      </c>
      <c r="H3448" t="s">
        <v>79</v>
      </c>
      <c r="I3448" t="s">
        <v>80</v>
      </c>
      <c r="J3448" t="s">
        <v>91</v>
      </c>
      <c r="K3448" t="s">
        <v>78</v>
      </c>
      <c r="L3448" t="s">
        <v>206</v>
      </c>
      <c r="M3448" t="s">
        <v>207</v>
      </c>
      <c r="N3448" t="s">
        <v>2164</v>
      </c>
      <c r="O3448" t="s">
        <v>82</v>
      </c>
      <c r="P3448" t="str">
        <f>"4170066654                    "</f>
        <v xml:space="preserve">4170066654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145.21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13</v>
      </c>
      <c r="BJ3448">
        <v>9.1</v>
      </c>
      <c r="BK3448">
        <v>13</v>
      </c>
      <c r="BL3448">
        <v>460.89</v>
      </c>
      <c r="BM3448">
        <v>69.13</v>
      </c>
      <c r="BN3448">
        <v>530.02</v>
      </c>
      <c r="BO3448">
        <v>530.02</v>
      </c>
      <c r="BQ3448" t="s">
        <v>2165</v>
      </c>
      <c r="BR3448" t="s">
        <v>97</v>
      </c>
      <c r="BS3448" s="3">
        <v>45960</v>
      </c>
      <c r="BT3448" s="4">
        <v>0.41736111111111113</v>
      </c>
      <c r="BU3448" t="s">
        <v>3609</v>
      </c>
      <c r="BV3448" t="s">
        <v>86</v>
      </c>
      <c r="BY3448">
        <v>45375</v>
      </c>
      <c r="CA3448" t="s">
        <v>2795</v>
      </c>
      <c r="CC3448" t="s">
        <v>207</v>
      </c>
      <c r="CD3448">
        <v>7441</v>
      </c>
      <c r="CE3448" t="s">
        <v>975</v>
      </c>
      <c r="CI3448">
        <v>1</v>
      </c>
      <c r="CJ3448">
        <v>1</v>
      </c>
      <c r="CK3448">
        <v>21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"080068821911"</f>
        <v>080068821911</v>
      </c>
      <c r="F3449" s="3">
        <v>45959</v>
      </c>
      <c r="G3449">
        <v>202607</v>
      </c>
      <c r="H3449" t="s">
        <v>79</v>
      </c>
      <c r="I3449" t="s">
        <v>80</v>
      </c>
      <c r="J3449" t="s">
        <v>91</v>
      </c>
      <c r="K3449" t="s">
        <v>78</v>
      </c>
      <c r="L3449" t="s">
        <v>322</v>
      </c>
      <c r="M3449" t="s">
        <v>322</v>
      </c>
      <c r="N3449" t="s">
        <v>481</v>
      </c>
      <c r="O3449" t="s">
        <v>82</v>
      </c>
      <c r="P3449" t="str">
        <f>"4170066535                    "</f>
        <v xml:space="preserve">4170066535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43.31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137.47</v>
      </c>
      <c r="BM3449">
        <v>20.62</v>
      </c>
      <c r="BN3449">
        <v>158.09</v>
      </c>
      <c r="BO3449">
        <v>158.09</v>
      </c>
      <c r="BQ3449" t="s">
        <v>482</v>
      </c>
      <c r="BR3449" t="s">
        <v>97</v>
      </c>
      <c r="BS3449" t="s">
        <v>2659</v>
      </c>
      <c r="BY3449">
        <v>1200</v>
      </c>
      <c r="CC3449" t="s">
        <v>322</v>
      </c>
      <c r="CD3449">
        <v>7646</v>
      </c>
      <c r="CE3449" t="s">
        <v>147</v>
      </c>
      <c r="CI3449">
        <v>1</v>
      </c>
      <c r="CJ3449" t="s">
        <v>2659</v>
      </c>
      <c r="CK3449">
        <v>23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"080068821926"</f>
        <v>080068821926</v>
      </c>
      <c r="F3450" s="3">
        <v>45959</v>
      </c>
      <c r="G3450">
        <v>202607</v>
      </c>
      <c r="H3450" t="s">
        <v>79</v>
      </c>
      <c r="I3450" t="s">
        <v>80</v>
      </c>
      <c r="J3450" t="s">
        <v>91</v>
      </c>
      <c r="K3450" t="s">
        <v>78</v>
      </c>
      <c r="L3450" t="s">
        <v>206</v>
      </c>
      <c r="M3450" t="s">
        <v>207</v>
      </c>
      <c r="N3450" t="s">
        <v>935</v>
      </c>
      <c r="O3450" t="s">
        <v>82</v>
      </c>
      <c r="P3450" t="str">
        <f>"4170066636                    "</f>
        <v xml:space="preserve">4170066636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22.36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70.959999999999994</v>
      </c>
      <c r="BM3450">
        <v>10.64</v>
      </c>
      <c r="BN3450">
        <v>81.599999999999994</v>
      </c>
      <c r="BO3450">
        <v>81.599999999999994</v>
      </c>
      <c r="BQ3450" t="s">
        <v>936</v>
      </c>
      <c r="BR3450" t="s">
        <v>97</v>
      </c>
      <c r="BS3450" s="3">
        <v>45960</v>
      </c>
      <c r="BT3450" s="4">
        <v>0.41319444444444442</v>
      </c>
      <c r="BU3450" t="s">
        <v>3610</v>
      </c>
      <c r="BV3450" t="s">
        <v>86</v>
      </c>
      <c r="BY3450">
        <v>1200</v>
      </c>
      <c r="CA3450" t="s">
        <v>2795</v>
      </c>
      <c r="CC3450" t="s">
        <v>207</v>
      </c>
      <c r="CD3450">
        <v>7441</v>
      </c>
      <c r="CE3450" t="s">
        <v>147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"080068821931"</f>
        <v>080068821931</v>
      </c>
      <c r="F3451" s="3">
        <v>45959</v>
      </c>
      <c r="G3451">
        <v>202607</v>
      </c>
      <c r="H3451" t="s">
        <v>79</v>
      </c>
      <c r="I3451" t="s">
        <v>80</v>
      </c>
      <c r="J3451" t="s">
        <v>91</v>
      </c>
      <c r="K3451" t="s">
        <v>78</v>
      </c>
      <c r="L3451" t="s">
        <v>148</v>
      </c>
      <c r="M3451" t="s">
        <v>149</v>
      </c>
      <c r="N3451" t="s">
        <v>465</v>
      </c>
      <c r="O3451" t="s">
        <v>95</v>
      </c>
      <c r="P3451" t="str">
        <f>"4170066595                    "</f>
        <v xml:space="preserve">4170066595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34.33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16</v>
      </c>
      <c r="BJ3451">
        <v>14.4</v>
      </c>
      <c r="BK3451">
        <v>16</v>
      </c>
      <c r="BL3451">
        <v>114.84</v>
      </c>
      <c r="BM3451">
        <v>17.23</v>
      </c>
      <c r="BN3451">
        <v>132.07</v>
      </c>
      <c r="BO3451">
        <v>132.07</v>
      </c>
      <c r="BQ3451" t="s">
        <v>466</v>
      </c>
      <c r="BR3451" t="s">
        <v>97</v>
      </c>
      <c r="BS3451" s="3">
        <v>45960</v>
      </c>
      <c r="BT3451" s="4">
        <v>0.36180555555555555</v>
      </c>
      <c r="BU3451" t="s">
        <v>1658</v>
      </c>
      <c r="BV3451" t="s">
        <v>86</v>
      </c>
      <c r="BY3451">
        <v>72000</v>
      </c>
      <c r="CA3451" t="s">
        <v>519</v>
      </c>
      <c r="CC3451" t="s">
        <v>149</v>
      </c>
      <c r="CD3451">
        <v>2094</v>
      </c>
      <c r="CE3451" t="s">
        <v>191</v>
      </c>
      <c r="CI3451">
        <v>1</v>
      </c>
      <c r="CJ3451">
        <v>1</v>
      </c>
      <c r="CK3451">
        <v>42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"080068821935"</f>
        <v>080068821935</v>
      </c>
      <c r="F3452" s="3">
        <v>45959</v>
      </c>
      <c r="G3452">
        <v>202607</v>
      </c>
      <c r="H3452" t="s">
        <v>79</v>
      </c>
      <c r="I3452" t="s">
        <v>80</v>
      </c>
      <c r="J3452" t="s">
        <v>91</v>
      </c>
      <c r="K3452" t="s">
        <v>78</v>
      </c>
      <c r="L3452" t="s">
        <v>180</v>
      </c>
      <c r="M3452" t="s">
        <v>181</v>
      </c>
      <c r="N3452" t="s">
        <v>3604</v>
      </c>
      <c r="O3452" t="s">
        <v>82</v>
      </c>
      <c r="P3452" t="str">
        <f>"4170066632                    "</f>
        <v xml:space="preserve">4170066632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43.31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0.2</v>
      </c>
      <c r="BJ3452">
        <v>0.9</v>
      </c>
      <c r="BK3452">
        <v>1</v>
      </c>
      <c r="BL3452">
        <v>137.47</v>
      </c>
      <c r="BM3452">
        <v>20.62</v>
      </c>
      <c r="BN3452">
        <v>158.09</v>
      </c>
      <c r="BO3452">
        <v>158.09</v>
      </c>
      <c r="BQ3452" t="s">
        <v>3605</v>
      </c>
      <c r="BR3452" t="s">
        <v>97</v>
      </c>
      <c r="BS3452" t="s">
        <v>2659</v>
      </c>
      <c r="BY3452">
        <v>4741.95</v>
      </c>
      <c r="CC3452" t="s">
        <v>181</v>
      </c>
      <c r="CD3452">
        <v>1020</v>
      </c>
      <c r="CE3452" t="s">
        <v>147</v>
      </c>
      <c r="CI3452">
        <v>1</v>
      </c>
      <c r="CJ3452" t="s">
        <v>2659</v>
      </c>
      <c r="CK3452">
        <v>23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"080068821946"</f>
        <v>080068821946</v>
      </c>
      <c r="F3453" s="3">
        <v>45959</v>
      </c>
      <c r="G3453">
        <v>202607</v>
      </c>
      <c r="H3453" t="s">
        <v>79</v>
      </c>
      <c r="I3453" t="s">
        <v>80</v>
      </c>
      <c r="J3453" t="s">
        <v>91</v>
      </c>
      <c r="K3453" t="s">
        <v>78</v>
      </c>
      <c r="L3453" t="s">
        <v>108</v>
      </c>
      <c r="M3453" t="s">
        <v>109</v>
      </c>
      <c r="N3453" t="s">
        <v>515</v>
      </c>
      <c r="O3453" t="s">
        <v>82</v>
      </c>
      <c r="P3453" t="str">
        <f>"4170066638                    "</f>
        <v xml:space="preserve">4170066638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156.38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14</v>
      </c>
      <c r="BJ3453">
        <v>8.9</v>
      </c>
      <c r="BK3453">
        <v>14</v>
      </c>
      <c r="BL3453">
        <v>496.34</v>
      </c>
      <c r="BM3453">
        <v>74.45</v>
      </c>
      <c r="BN3453">
        <v>570.79</v>
      </c>
      <c r="BO3453">
        <v>570.79</v>
      </c>
      <c r="BQ3453" t="s">
        <v>516</v>
      </c>
      <c r="BR3453" t="s">
        <v>97</v>
      </c>
      <c r="BS3453" s="3">
        <v>45960</v>
      </c>
      <c r="BT3453" s="4">
        <v>0.40833333333333333</v>
      </c>
      <c r="BU3453" t="s">
        <v>2405</v>
      </c>
      <c r="BV3453" t="s">
        <v>86</v>
      </c>
      <c r="BY3453">
        <v>44640</v>
      </c>
      <c r="CA3453" t="s">
        <v>113</v>
      </c>
      <c r="CC3453" t="s">
        <v>109</v>
      </c>
      <c r="CD3453">
        <v>6001</v>
      </c>
      <c r="CE3453" t="s">
        <v>191</v>
      </c>
      <c r="CI3453">
        <v>1</v>
      </c>
      <c r="CJ3453">
        <v>1</v>
      </c>
      <c r="CK3453">
        <v>21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"080068821957"</f>
        <v>080068821957</v>
      </c>
      <c r="F3454" s="3">
        <v>45959</v>
      </c>
      <c r="G3454">
        <v>202607</v>
      </c>
      <c r="H3454" t="s">
        <v>79</v>
      </c>
      <c r="I3454" t="s">
        <v>80</v>
      </c>
      <c r="J3454" t="s">
        <v>91</v>
      </c>
      <c r="K3454" t="s">
        <v>78</v>
      </c>
      <c r="L3454" t="s">
        <v>281</v>
      </c>
      <c r="M3454" t="s">
        <v>282</v>
      </c>
      <c r="N3454" t="s">
        <v>866</v>
      </c>
      <c r="O3454" t="s">
        <v>82</v>
      </c>
      <c r="P3454" t="str">
        <f>"4170066609                    "</f>
        <v xml:space="preserve">4170066609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43.31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137.47</v>
      </c>
      <c r="BM3454">
        <v>20.62</v>
      </c>
      <c r="BN3454">
        <v>158.09</v>
      </c>
      <c r="BO3454">
        <v>158.09</v>
      </c>
      <c r="BQ3454" t="s">
        <v>867</v>
      </c>
      <c r="BR3454" t="s">
        <v>97</v>
      </c>
      <c r="BS3454" t="s">
        <v>2659</v>
      </c>
      <c r="BY3454">
        <v>1200</v>
      </c>
      <c r="CC3454" t="s">
        <v>282</v>
      </c>
      <c r="CD3454">
        <v>1871</v>
      </c>
      <c r="CE3454" t="s">
        <v>147</v>
      </c>
      <c r="CI3454">
        <v>1</v>
      </c>
      <c r="CJ3454" t="s">
        <v>2659</v>
      </c>
      <c r="CK3454">
        <v>23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"080068821969"</f>
        <v>080068821969</v>
      </c>
      <c r="F3455" s="3">
        <v>45959</v>
      </c>
      <c r="G3455">
        <v>202607</v>
      </c>
      <c r="H3455" t="s">
        <v>79</v>
      </c>
      <c r="I3455" t="s">
        <v>80</v>
      </c>
      <c r="J3455" t="s">
        <v>91</v>
      </c>
      <c r="K3455" t="s">
        <v>78</v>
      </c>
      <c r="L3455" t="s">
        <v>281</v>
      </c>
      <c r="M3455" t="s">
        <v>282</v>
      </c>
      <c r="N3455" t="s">
        <v>866</v>
      </c>
      <c r="O3455" t="s">
        <v>82</v>
      </c>
      <c r="P3455" t="str">
        <f>"4170066608                    "</f>
        <v xml:space="preserve">4170066608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43.31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137.47</v>
      </c>
      <c r="BM3455">
        <v>20.62</v>
      </c>
      <c r="BN3455">
        <v>158.09</v>
      </c>
      <c r="BO3455">
        <v>158.09</v>
      </c>
      <c r="BQ3455" t="s">
        <v>867</v>
      </c>
      <c r="BR3455" t="s">
        <v>97</v>
      </c>
      <c r="BS3455" t="s">
        <v>2659</v>
      </c>
      <c r="BY3455">
        <v>1200</v>
      </c>
      <c r="CC3455" t="s">
        <v>282</v>
      </c>
      <c r="CD3455">
        <v>1871</v>
      </c>
      <c r="CE3455" t="s">
        <v>147</v>
      </c>
      <c r="CI3455">
        <v>1</v>
      </c>
      <c r="CJ3455" t="s">
        <v>2659</v>
      </c>
      <c r="CK3455">
        <v>23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"080068821972"</f>
        <v>080068821972</v>
      </c>
      <c r="F3456" s="3">
        <v>45959</v>
      </c>
      <c r="G3456">
        <v>202607</v>
      </c>
      <c r="H3456" t="s">
        <v>79</v>
      </c>
      <c r="I3456" t="s">
        <v>80</v>
      </c>
      <c r="J3456" t="s">
        <v>91</v>
      </c>
      <c r="K3456" t="s">
        <v>78</v>
      </c>
      <c r="L3456" t="s">
        <v>121</v>
      </c>
      <c r="M3456" t="s">
        <v>122</v>
      </c>
      <c r="N3456" t="s">
        <v>1023</v>
      </c>
      <c r="O3456" t="s">
        <v>82</v>
      </c>
      <c r="P3456" t="str">
        <f>"4170066578                    "</f>
        <v xml:space="preserve">4170066578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67.03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4</v>
      </c>
      <c r="BJ3456">
        <v>6</v>
      </c>
      <c r="BK3456">
        <v>6</v>
      </c>
      <c r="BL3456">
        <v>212.75</v>
      </c>
      <c r="BM3456">
        <v>31.91</v>
      </c>
      <c r="BN3456">
        <v>244.66</v>
      </c>
      <c r="BO3456">
        <v>244.66</v>
      </c>
      <c r="BQ3456" t="s">
        <v>1024</v>
      </c>
      <c r="BR3456" t="s">
        <v>97</v>
      </c>
      <c r="BS3456" s="3">
        <v>45960</v>
      </c>
      <c r="BT3456" s="4">
        <v>0.39652777777777776</v>
      </c>
      <c r="BU3456" t="s">
        <v>3611</v>
      </c>
      <c r="BV3456" t="s">
        <v>86</v>
      </c>
      <c r="BY3456">
        <v>30096</v>
      </c>
      <c r="CA3456" t="s">
        <v>3612</v>
      </c>
      <c r="CC3456" t="s">
        <v>122</v>
      </c>
      <c r="CD3456">
        <v>4000</v>
      </c>
      <c r="CE3456" t="s">
        <v>107</v>
      </c>
      <c r="CI3456">
        <v>1</v>
      </c>
      <c r="CJ3456">
        <v>1</v>
      </c>
      <c r="CK3456">
        <v>21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"080068822079"</f>
        <v>080068822079</v>
      </c>
      <c r="F3457" s="3">
        <v>45959</v>
      </c>
      <c r="G3457">
        <v>202607</v>
      </c>
      <c r="H3457" t="s">
        <v>79</v>
      </c>
      <c r="I3457" t="s">
        <v>80</v>
      </c>
      <c r="J3457" t="s">
        <v>91</v>
      </c>
      <c r="K3457" t="s">
        <v>78</v>
      </c>
      <c r="L3457" t="s">
        <v>453</v>
      </c>
      <c r="M3457" t="s">
        <v>454</v>
      </c>
      <c r="N3457" t="s">
        <v>581</v>
      </c>
      <c r="O3457" t="s">
        <v>82</v>
      </c>
      <c r="P3457" t="str">
        <f>"4170066623                    "</f>
        <v xml:space="preserve">4170066623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22.36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1.1000000000000001</v>
      </c>
      <c r="BK3457">
        <v>1.5</v>
      </c>
      <c r="BL3457">
        <v>70.959999999999994</v>
      </c>
      <c r="BM3457">
        <v>10.64</v>
      </c>
      <c r="BN3457">
        <v>81.599999999999994</v>
      </c>
      <c r="BO3457">
        <v>81.599999999999994</v>
      </c>
      <c r="BQ3457" t="s">
        <v>582</v>
      </c>
      <c r="BR3457" t="s">
        <v>97</v>
      </c>
      <c r="BS3457" s="3">
        <v>45960</v>
      </c>
      <c r="BT3457" s="4">
        <v>0.375</v>
      </c>
      <c r="BU3457" t="s">
        <v>583</v>
      </c>
      <c r="BV3457" t="s">
        <v>86</v>
      </c>
      <c r="BY3457">
        <v>5510</v>
      </c>
      <c r="CA3457" t="s">
        <v>3272</v>
      </c>
      <c r="CC3457" t="s">
        <v>454</v>
      </c>
      <c r="CD3457">
        <v>3610</v>
      </c>
      <c r="CE3457" t="s">
        <v>191</v>
      </c>
      <c r="CI3457">
        <v>1</v>
      </c>
      <c r="CJ3457">
        <v>1</v>
      </c>
      <c r="CK3457">
        <v>21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"080068822221"</f>
        <v>080068822221</v>
      </c>
      <c r="F3458" s="3">
        <v>45959</v>
      </c>
      <c r="G3458">
        <v>202607</v>
      </c>
      <c r="H3458" t="s">
        <v>79</v>
      </c>
      <c r="I3458" t="s">
        <v>80</v>
      </c>
      <c r="J3458" t="s">
        <v>91</v>
      </c>
      <c r="K3458" t="s">
        <v>78</v>
      </c>
      <c r="L3458" t="s">
        <v>206</v>
      </c>
      <c r="M3458" t="s">
        <v>207</v>
      </c>
      <c r="N3458" t="s">
        <v>935</v>
      </c>
      <c r="O3458" t="s">
        <v>82</v>
      </c>
      <c r="P3458" t="str">
        <f>"4170066634                    "</f>
        <v xml:space="preserve">4170066634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22.36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1.1000000000000001</v>
      </c>
      <c r="BK3458">
        <v>1.5</v>
      </c>
      <c r="BL3458">
        <v>70.959999999999994</v>
      </c>
      <c r="BM3458">
        <v>10.64</v>
      </c>
      <c r="BN3458">
        <v>81.599999999999994</v>
      </c>
      <c r="BO3458">
        <v>81.599999999999994</v>
      </c>
      <c r="BQ3458" t="s">
        <v>936</v>
      </c>
      <c r="BR3458" t="s">
        <v>97</v>
      </c>
      <c r="BS3458" s="3">
        <v>45960</v>
      </c>
      <c r="BT3458" s="4">
        <v>0.41388888888888886</v>
      </c>
      <c r="BU3458" t="s">
        <v>3613</v>
      </c>
      <c r="BV3458" t="s">
        <v>86</v>
      </c>
      <c r="BY3458">
        <v>5510</v>
      </c>
      <c r="CA3458" t="s">
        <v>2795</v>
      </c>
      <c r="CC3458" t="s">
        <v>207</v>
      </c>
      <c r="CD3458">
        <v>7441</v>
      </c>
      <c r="CE3458" t="s">
        <v>191</v>
      </c>
      <c r="CI3458">
        <v>1</v>
      </c>
      <c r="CJ3458">
        <v>1</v>
      </c>
      <c r="CK3458">
        <v>21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"080068822240"</f>
        <v>080068822240</v>
      </c>
      <c r="F3459" s="3">
        <v>45959</v>
      </c>
      <c r="G3459">
        <v>202607</v>
      </c>
      <c r="H3459" t="s">
        <v>79</v>
      </c>
      <c r="I3459" t="s">
        <v>80</v>
      </c>
      <c r="J3459" t="s">
        <v>91</v>
      </c>
      <c r="K3459" t="s">
        <v>78</v>
      </c>
      <c r="L3459" t="s">
        <v>79</v>
      </c>
      <c r="M3459" t="s">
        <v>80</v>
      </c>
      <c r="N3459" t="s">
        <v>577</v>
      </c>
      <c r="O3459" t="s">
        <v>82</v>
      </c>
      <c r="P3459" t="str">
        <f>"4170066548                    "</f>
        <v xml:space="preserve">4170066548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17.46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55.42</v>
      </c>
      <c r="BM3459">
        <v>8.31</v>
      </c>
      <c r="BN3459">
        <v>63.73</v>
      </c>
      <c r="BO3459">
        <v>63.73</v>
      </c>
      <c r="BQ3459" t="s">
        <v>578</v>
      </c>
      <c r="BR3459" t="s">
        <v>97</v>
      </c>
      <c r="BS3459" s="3">
        <v>45960</v>
      </c>
      <c r="BT3459" s="4">
        <v>0.40277777777777779</v>
      </c>
      <c r="BU3459" t="s">
        <v>1536</v>
      </c>
      <c r="BV3459" t="s">
        <v>86</v>
      </c>
      <c r="BY3459">
        <v>1200</v>
      </c>
      <c r="CA3459" t="s">
        <v>580</v>
      </c>
      <c r="CC3459" t="s">
        <v>80</v>
      </c>
      <c r="CD3459">
        <v>1619</v>
      </c>
      <c r="CE3459" t="s">
        <v>147</v>
      </c>
      <c r="CI3459">
        <v>1</v>
      </c>
      <c r="CJ3459">
        <v>1</v>
      </c>
      <c r="CK3459">
        <v>22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"080068822312"</f>
        <v>080068822312</v>
      </c>
      <c r="F3460" s="3">
        <v>45959</v>
      </c>
      <c r="G3460">
        <v>202607</v>
      </c>
      <c r="H3460" t="s">
        <v>79</v>
      </c>
      <c r="I3460" t="s">
        <v>80</v>
      </c>
      <c r="J3460" t="s">
        <v>91</v>
      </c>
      <c r="K3460" t="s">
        <v>78</v>
      </c>
      <c r="L3460" t="s">
        <v>223</v>
      </c>
      <c r="M3460" t="s">
        <v>224</v>
      </c>
      <c r="N3460" t="s">
        <v>505</v>
      </c>
      <c r="O3460" t="s">
        <v>95</v>
      </c>
      <c r="P3460" t="str">
        <f>"4170066575                    "</f>
        <v xml:space="preserve">4170066575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36.28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8</v>
      </c>
      <c r="BJ3460">
        <v>17.7</v>
      </c>
      <c r="BK3460">
        <v>18</v>
      </c>
      <c r="BL3460">
        <v>121.03</v>
      </c>
      <c r="BM3460">
        <v>18.149999999999999</v>
      </c>
      <c r="BN3460">
        <v>139.18</v>
      </c>
      <c r="BO3460">
        <v>139.18</v>
      </c>
      <c r="BQ3460" t="s">
        <v>506</v>
      </c>
      <c r="BR3460" t="s">
        <v>97</v>
      </c>
      <c r="BS3460" t="s">
        <v>2659</v>
      </c>
      <c r="BY3460">
        <v>88320</v>
      </c>
      <c r="CC3460" t="s">
        <v>224</v>
      </c>
      <c r="CD3460">
        <v>1459</v>
      </c>
      <c r="CE3460" t="s">
        <v>191</v>
      </c>
      <c r="CI3460">
        <v>1</v>
      </c>
      <c r="CJ3460" t="s">
        <v>2659</v>
      </c>
      <c r="CK3460">
        <v>42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"080068822897"</f>
        <v>080068822897</v>
      </c>
      <c r="F3461" s="3">
        <v>45959</v>
      </c>
      <c r="G3461">
        <v>202607</v>
      </c>
      <c r="H3461" t="s">
        <v>79</v>
      </c>
      <c r="I3461" t="s">
        <v>80</v>
      </c>
      <c r="J3461" t="s">
        <v>91</v>
      </c>
      <c r="K3461" t="s">
        <v>78</v>
      </c>
      <c r="L3461" t="s">
        <v>108</v>
      </c>
      <c r="M3461" t="s">
        <v>109</v>
      </c>
      <c r="N3461" t="s">
        <v>2879</v>
      </c>
      <c r="O3461" t="s">
        <v>82</v>
      </c>
      <c r="P3461" t="str">
        <f>"4170066646                    "</f>
        <v xml:space="preserve">4170066646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22.36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70.959999999999994</v>
      </c>
      <c r="BM3461">
        <v>10.64</v>
      </c>
      <c r="BN3461">
        <v>81.599999999999994</v>
      </c>
      <c r="BO3461">
        <v>81.599999999999994</v>
      </c>
      <c r="BQ3461" t="s">
        <v>2880</v>
      </c>
      <c r="BR3461" t="s">
        <v>97</v>
      </c>
      <c r="BS3461" s="3">
        <v>45960</v>
      </c>
      <c r="BT3461" s="4">
        <v>0.48819444444444443</v>
      </c>
      <c r="BU3461" t="s">
        <v>3614</v>
      </c>
      <c r="BV3461" t="s">
        <v>90</v>
      </c>
      <c r="BY3461">
        <v>1200</v>
      </c>
      <c r="CA3461" t="s">
        <v>2882</v>
      </c>
      <c r="CC3461" t="s">
        <v>109</v>
      </c>
      <c r="CD3461">
        <v>6100</v>
      </c>
      <c r="CE3461" t="s">
        <v>147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"080068822920"</f>
        <v>080068822920</v>
      </c>
      <c r="F3462" s="3">
        <v>45959</v>
      </c>
      <c r="G3462">
        <v>202607</v>
      </c>
      <c r="H3462" t="s">
        <v>79</v>
      </c>
      <c r="I3462" t="s">
        <v>80</v>
      </c>
      <c r="J3462" t="s">
        <v>91</v>
      </c>
      <c r="K3462" t="s">
        <v>78</v>
      </c>
      <c r="L3462" t="s">
        <v>121</v>
      </c>
      <c r="M3462" t="s">
        <v>122</v>
      </c>
      <c r="N3462" t="s">
        <v>159</v>
      </c>
      <c r="O3462" t="s">
        <v>82</v>
      </c>
      <c r="P3462" t="str">
        <f>"4170066659                    "</f>
        <v xml:space="preserve">4170066659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22.36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70.959999999999994</v>
      </c>
      <c r="BM3462">
        <v>10.64</v>
      </c>
      <c r="BN3462">
        <v>81.599999999999994</v>
      </c>
      <c r="BO3462">
        <v>81.599999999999994</v>
      </c>
      <c r="BQ3462" t="s">
        <v>160</v>
      </c>
      <c r="BR3462" t="s">
        <v>97</v>
      </c>
      <c r="BS3462" s="3">
        <v>45960</v>
      </c>
      <c r="BT3462" s="4">
        <v>0.38611111111111113</v>
      </c>
      <c r="BU3462" t="s">
        <v>2781</v>
      </c>
      <c r="BV3462" t="s">
        <v>86</v>
      </c>
      <c r="BY3462">
        <v>1200</v>
      </c>
      <c r="CA3462" t="s">
        <v>3272</v>
      </c>
      <c r="CC3462" t="s">
        <v>122</v>
      </c>
      <c r="CD3462">
        <v>4000</v>
      </c>
      <c r="CE3462" t="s">
        <v>147</v>
      </c>
      <c r="CI3462">
        <v>1</v>
      </c>
      <c r="CJ3462">
        <v>1</v>
      </c>
      <c r="CK3462">
        <v>21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"080068822936"</f>
        <v>080068822936</v>
      </c>
      <c r="F3463" s="3">
        <v>45959</v>
      </c>
      <c r="G3463">
        <v>202607</v>
      </c>
      <c r="H3463" t="s">
        <v>79</v>
      </c>
      <c r="I3463" t="s">
        <v>80</v>
      </c>
      <c r="J3463" t="s">
        <v>91</v>
      </c>
      <c r="K3463" t="s">
        <v>78</v>
      </c>
      <c r="L3463" t="s">
        <v>108</v>
      </c>
      <c r="M3463" t="s">
        <v>109</v>
      </c>
      <c r="N3463" t="s">
        <v>365</v>
      </c>
      <c r="O3463" t="s">
        <v>82</v>
      </c>
      <c r="P3463" t="str">
        <f>"4170066645                    "</f>
        <v xml:space="preserve">4170066645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22.36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70.959999999999994</v>
      </c>
      <c r="BM3463">
        <v>10.64</v>
      </c>
      <c r="BN3463">
        <v>81.599999999999994</v>
      </c>
      <c r="BO3463">
        <v>81.599999999999994</v>
      </c>
      <c r="BQ3463" t="s">
        <v>366</v>
      </c>
      <c r="BR3463" t="s">
        <v>97</v>
      </c>
      <c r="BS3463" s="3">
        <v>45960</v>
      </c>
      <c r="BT3463" s="4">
        <v>0.42916666666666664</v>
      </c>
      <c r="BU3463" t="s">
        <v>1667</v>
      </c>
      <c r="BV3463" t="s">
        <v>86</v>
      </c>
      <c r="BY3463">
        <v>1200</v>
      </c>
      <c r="CA3463" t="s">
        <v>1145</v>
      </c>
      <c r="CC3463" t="s">
        <v>109</v>
      </c>
      <c r="CD3463">
        <v>6056</v>
      </c>
      <c r="CE3463" t="s">
        <v>147</v>
      </c>
      <c r="CI3463">
        <v>1</v>
      </c>
      <c r="CJ3463">
        <v>1</v>
      </c>
      <c r="CK3463">
        <v>21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"080068822960"</f>
        <v>080068822960</v>
      </c>
      <c r="F3464" s="3">
        <v>45959</v>
      </c>
      <c r="G3464">
        <v>202607</v>
      </c>
      <c r="H3464" t="s">
        <v>79</v>
      </c>
      <c r="I3464" t="s">
        <v>80</v>
      </c>
      <c r="J3464" t="s">
        <v>91</v>
      </c>
      <c r="K3464" t="s">
        <v>78</v>
      </c>
      <c r="L3464" t="s">
        <v>92</v>
      </c>
      <c r="M3464" t="s">
        <v>93</v>
      </c>
      <c r="N3464" t="s">
        <v>552</v>
      </c>
      <c r="O3464" t="s">
        <v>82</v>
      </c>
      <c r="P3464" t="str">
        <f>"4170066558                    "</f>
        <v xml:space="preserve">4170066558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22.36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0.2</v>
      </c>
      <c r="BJ3464">
        <v>1.6</v>
      </c>
      <c r="BK3464">
        <v>2</v>
      </c>
      <c r="BL3464">
        <v>70.959999999999994</v>
      </c>
      <c r="BM3464">
        <v>10.64</v>
      </c>
      <c r="BN3464">
        <v>81.599999999999994</v>
      </c>
      <c r="BO3464">
        <v>81.599999999999994</v>
      </c>
      <c r="BQ3464" t="s">
        <v>553</v>
      </c>
      <c r="BR3464" t="s">
        <v>97</v>
      </c>
      <c r="BS3464" s="3">
        <v>45960</v>
      </c>
      <c r="BT3464" s="4">
        <v>0.42291666666666666</v>
      </c>
      <c r="BU3464" t="s">
        <v>1140</v>
      </c>
      <c r="BV3464" t="s">
        <v>86</v>
      </c>
      <c r="BY3464">
        <v>8191.8</v>
      </c>
      <c r="CA3464" t="s">
        <v>1141</v>
      </c>
      <c r="CC3464" t="s">
        <v>93</v>
      </c>
      <c r="CD3464">
        <v>3201</v>
      </c>
      <c r="CE3464" t="s">
        <v>147</v>
      </c>
      <c r="CI3464">
        <v>1</v>
      </c>
      <c r="CJ3464">
        <v>1</v>
      </c>
      <c r="CK3464">
        <v>21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"080068822981"</f>
        <v>080068822981</v>
      </c>
      <c r="F3465" s="3">
        <v>45959</v>
      </c>
      <c r="G3465">
        <v>202607</v>
      </c>
      <c r="H3465" t="s">
        <v>79</v>
      </c>
      <c r="I3465" t="s">
        <v>80</v>
      </c>
      <c r="J3465" t="s">
        <v>91</v>
      </c>
      <c r="K3465" t="s">
        <v>78</v>
      </c>
      <c r="L3465" t="s">
        <v>265</v>
      </c>
      <c r="M3465" t="s">
        <v>266</v>
      </c>
      <c r="N3465" t="s">
        <v>587</v>
      </c>
      <c r="O3465" t="s">
        <v>82</v>
      </c>
      <c r="P3465" t="str">
        <f>"4170066657                    "</f>
        <v xml:space="preserve">4170066657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33.520000000000003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3</v>
      </c>
      <c r="BJ3465">
        <v>1.7</v>
      </c>
      <c r="BK3465">
        <v>3</v>
      </c>
      <c r="BL3465">
        <v>106.4</v>
      </c>
      <c r="BM3465">
        <v>15.96</v>
      </c>
      <c r="BN3465">
        <v>122.36</v>
      </c>
      <c r="BO3465">
        <v>122.36</v>
      </c>
      <c r="BQ3465" t="s">
        <v>588</v>
      </c>
      <c r="BR3465" t="s">
        <v>97</v>
      </c>
      <c r="BS3465" s="3">
        <v>45960</v>
      </c>
      <c r="BT3465" s="4">
        <v>0.33680555555555558</v>
      </c>
      <c r="BU3465" t="s">
        <v>3615</v>
      </c>
      <c r="BV3465" t="s">
        <v>86</v>
      </c>
      <c r="BY3465">
        <v>8550</v>
      </c>
      <c r="CA3465" t="s">
        <v>818</v>
      </c>
      <c r="CC3465" t="s">
        <v>266</v>
      </c>
      <c r="CD3465">
        <v>6229</v>
      </c>
      <c r="CE3465" t="s">
        <v>191</v>
      </c>
      <c r="CI3465">
        <v>1</v>
      </c>
      <c r="CJ3465">
        <v>1</v>
      </c>
      <c r="CK3465">
        <v>21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"080068823000"</f>
        <v>080068823000</v>
      </c>
      <c r="F3466" s="3">
        <v>45959</v>
      </c>
      <c r="G3466">
        <v>202607</v>
      </c>
      <c r="H3466" t="s">
        <v>79</v>
      </c>
      <c r="I3466" t="s">
        <v>80</v>
      </c>
      <c r="J3466" t="s">
        <v>91</v>
      </c>
      <c r="K3466" t="s">
        <v>78</v>
      </c>
      <c r="L3466" t="s">
        <v>114</v>
      </c>
      <c r="M3466" t="s">
        <v>115</v>
      </c>
      <c r="N3466" t="s">
        <v>116</v>
      </c>
      <c r="O3466" t="s">
        <v>82</v>
      </c>
      <c r="P3466" t="str">
        <f>"4170066667                    "</f>
        <v xml:space="preserve">4170066667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22.36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70.959999999999994</v>
      </c>
      <c r="BM3466">
        <v>10.64</v>
      </c>
      <c r="BN3466">
        <v>81.599999999999994</v>
      </c>
      <c r="BO3466">
        <v>81.599999999999994</v>
      </c>
      <c r="BQ3466" t="s">
        <v>117</v>
      </c>
      <c r="BR3466" t="s">
        <v>97</v>
      </c>
      <c r="BS3466" t="s">
        <v>2659</v>
      </c>
      <c r="BY3466">
        <v>1200</v>
      </c>
      <c r="CC3466" t="s">
        <v>115</v>
      </c>
      <c r="CD3466">
        <v>5201</v>
      </c>
      <c r="CE3466" t="s">
        <v>147</v>
      </c>
      <c r="CI3466">
        <v>5</v>
      </c>
      <c r="CJ3466" t="s">
        <v>2659</v>
      </c>
      <c r="CK3466">
        <v>21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"080068823019"</f>
        <v>080068823019</v>
      </c>
      <c r="F3467" s="3">
        <v>45959</v>
      </c>
      <c r="G3467">
        <v>202607</v>
      </c>
      <c r="H3467" t="s">
        <v>79</v>
      </c>
      <c r="I3467" t="s">
        <v>80</v>
      </c>
      <c r="J3467" t="s">
        <v>91</v>
      </c>
      <c r="K3467" t="s">
        <v>78</v>
      </c>
      <c r="L3467" t="s">
        <v>206</v>
      </c>
      <c r="M3467" t="s">
        <v>207</v>
      </c>
      <c r="N3467" t="s">
        <v>1192</v>
      </c>
      <c r="O3467" t="s">
        <v>82</v>
      </c>
      <c r="P3467" t="str">
        <f>"4170066585                    "</f>
        <v xml:space="preserve">4170066585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44.69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2</v>
      </c>
      <c r="BJ3467">
        <v>4</v>
      </c>
      <c r="BK3467">
        <v>4</v>
      </c>
      <c r="BL3467">
        <v>141.85</v>
      </c>
      <c r="BM3467">
        <v>21.28</v>
      </c>
      <c r="BN3467">
        <v>163.13</v>
      </c>
      <c r="BO3467">
        <v>163.13</v>
      </c>
      <c r="BQ3467" t="s">
        <v>1193</v>
      </c>
      <c r="BR3467" t="s">
        <v>97</v>
      </c>
      <c r="BS3467" s="3">
        <v>45960</v>
      </c>
      <c r="BT3467" s="4">
        <v>0.41944444444444445</v>
      </c>
      <c r="BU3467" t="s">
        <v>2901</v>
      </c>
      <c r="BV3467" t="s">
        <v>86</v>
      </c>
      <c r="BY3467">
        <v>20240</v>
      </c>
      <c r="CA3467" t="s">
        <v>461</v>
      </c>
      <c r="CC3467" t="s">
        <v>207</v>
      </c>
      <c r="CD3467">
        <v>7530</v>
      </c>
      <c r="CE3467" t="s">
        <v>191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"080068823020"</f>
        <v>080068823020</v>
      </c>
      <c r="F3468" s="3">
        <v>45959</v>
      </c>
      <c r="G3468">
        <v>202607</v>
      </c>
      <c r="H3468" t="s">
        <v>79</v>
      </c>
      <c r="I3468" t="s">
        <v>80</v>
      </c>
      <c r="J3468" t="s">
        <v>91</v>
      </c>
      <c r="K3468" t="s">
        <v>78</v>
      </c>
      <c r="L3468" t="s">
        <v>763</v>
      </c>
      <c r="M3468" t="s">
        <v>764</v>
      </c>
      <c r="N3468" t="s">
        <v>765</v>
      </c>
      <c r="O3468" t="s">
        <v>82</v>
      </c>
      <c r="P3468" t="str">
        <f>"4170066602                    "</f>
        <v xml:space="preserve">4170066602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43.31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0.2</v>
      </c>
      <c r="BJ3468">
        <v>0.6</v>
      </c>
      <c r="BK3468">
        <v>1</v>
      </c>
      <c r="BL3468">
        <v>137.47</v>
      </c>
      <c r="BM3468">
        <v>20.62</v>
      </c>
      <c r="BN3468">
        <v>158.09</v>
      </c>
      <c r="BO3468">
        <v>158.09</v>
      </c>
      <c r="BQ3468" t="s">
        <v>766</v>
      </c>
      <c r="BR3468" t="s">
        <v>97</v>
      </c>
      <c r="BS3468" s="3">
        <v>45960</v>
      </c>
      <c r="BT3468" s="4">
        <v>0.50694444444444442</v>
      </c>
      <c r="BU3468" t="s">
        <v>767</v>
      </c>
      <c r="BV3468" t="s">
        <v>86</v>
      </c>
      <c r="BY3468">
        <v>2752</v>
      </c>
      <c r="CA3468" t="s">
        <v>768</v>
      </c>
      <c r="CC3468" t="s">
        <v>764</v>
      </c>
      <c r="CD3468">
        <v>2531</v>
      </c>
      <c r="CE3468" t="s">
        <v>147</v>
      </c>
      <c r="CI3468">
        <v>1</v>
      </c>
      <c r="CJ3468">
        <v>1</v>
      </c>
      <c r="CK3468">
        <v>23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"080068823028"</f>
        <v>080068823028</v>
      </c>
      <c r="F3469" s="3">
        <v>45959</v>
      </c>
      <c r="G3469">
        <v>202607</v>
      </c>
      <c r="H3469" t="s">
        <v>79</v>
      </c>
      <c r="I3469" t="s">
        <v>80</v>
      </c>
      <c r="J3469" t="s">
        <v>91</v>
      </c>
      <c r="K3469" t="s">
        <v>78</v>
      </c>
      <c r="L3469" t="s">
        <v>168</v>
      </c>
      <c r="M3469" t="s">
        <v>169</v>
      </c>
      <c r="N3469" t="s">
        <v>737</v>
      </c>
      <c r="O3469" t="s">
        <v>82</v>
      </c>
      <c r="P3469" t="str">
        <f>"4170066560                    "</f>
        <v xml:space="preserve">4170066560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22.36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0.2</v>
      </c>
      <c r="BJ3469">
        <v>0.8</v>
      </c>
      <c r="BK3469">
        <v>1</v>
      </c>
      <c r="BL3469">
        <v>70.959999999999994</v>
      </c>
      <c r="BM3469">
        <v>10.64</v>
      </c>
      <c r="BN3469">
        <v>81.599999999999994</v>
      </c>
      <c r="BO3469">
        <v>81.599999999999994</v>
      </c>
      <c r="BQ3469" t="s">
        <v>738</v>
      </c>
      <c r="BR3469" t="s">
        <v>97</v>
      </c>
      <c r="BS3469" s="3">
        <v>45960</v>
      </c>
      <c r="BT3469" s="4">
        <v>0.40833333333333333</v>
      </c>
      <c r="BU3469" t="s">
        <v>1153</v>
      </c>
      <c r="BV3469" t="s">
        <v>86</v>
      </c>
      <c r="BY3469">
        <v>4056.85</v>
      </c>
      <c r="CA3469">
        <v>9103185460089</v>
      </c>
      <c r="CC3469" t="s">
        <v>169</v>
      </c>
      <c r="CD3469" s="5" t="s">
        <v>173</v>
      </c>
      <c r="CE3469" t="s">
        <v>147</v>
      </c>
      <c r="CI3469">
        <v>1</v>
      </c>
      <c r="CJ3469">
        <v>1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"080068823034"</f>
        <v>080068823034</v>
      </c>
      <c r="F3470" s="3">
        <v>45959</v>
      </c>
      <c r="G3470">
        <v>202607</v>
      </c>
      <c r="H3470" t="s">
        <v>79</v>
      </c>
      <c r="I3470" t="s">
        <v>80</v>
      </c>
      <c r="J3470" t="s">
        <v>91</v>
      </c>
      <c r="K3470" t="s">
        <v>78</v>
      </c>
      <c r="L3470" t="s">
        <v>168</v>
      </c>
      <c r="M3470" t="s">
        <v>169</v>
      </c>
      <c r="N3470" t="s">
        <v>1541</v>
      </c>
      <c r="O3470" t="s">
        <v>82</v>
      </c>
      <c r="P3470" t="str">
        <f>"4170066631                    "</f>
        <v xml:space="preserve">4170066631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22.36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1.1000000000000001</v>
      </c>
      <c r="BK3470">
        <v>1.5</v>
      </c>
      <c r="BL3470">
        <v>70.959999999999994</v>
      </c>
      <c r="BM3470">
        <v>10.64</v>
      </c>
      <c r="BN3470">
        <v>81.599999999999994</v>
      </c>
      <c r="BO3470">
        <v>81.599999999999994</v>
      </c>
      <c r="BQ3470" t="s">
        <v>1542</v>
      </c>
      <c r="BR3470" t="s">
        <v>97</v>
      </c>
      <c r="BS3470" s="3">
        <v>45960</v>
      </c>
      <c r="BT3470" s="4">
        <v>0.34513888888888888</v>
      </c>
      <c r="BU3470" t="s">
        <v>1928</v>
      </c>
      <c r="BV3470" t="s">
        <v>86</v>
      </c>
      <c r="BY3470">
        <v>5510</v>
      </c>
      <c r="CA3470">
        <v>8611235585086</v>
      </c>
      <c r="CC3470" t="s">
        <v>169</v>
      </c>
      <c r="CD3470" s="5" t="s">
        <v>173</v>
      </c>
      <c r="CE3470" t="s">
        <v>191</v>
      </c>
      <c r="CI3470">
        <v>1</v>
      </c>
      <c r="CJ3470">
        <v>1</v>
      </c>
      <c r="CK3470">
        <v>21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"080068823072"</f>
        <v>080068823072</v>
      </c>
      <c r="F3471" s="3">
        <v>45959</v>
      </c>
      <c r="G3471">
        <v>202607</v>
      </c>
      <c r="H3471" t="s">
        <v>79</v>
      </c>
      <c r="I3471" t="s">
        <v>80</v>
      </c>
      <c r="J3471" t="s">
        <v>91</v>
      </c>
      <c r="K3471" t="s">
        <v>78</v>
      </c>
      <c r="L3471" t="s">
        <v>168</v>
      </c>
      <c r="M3471" t="s">
        <v>169</v>
      </c>
      <c r="N3471" t="s">
        <v>873</v>
      </c>
      <c r="O3471" t="s">
        <v>95</v>
      </c>
      <c r="P3471" t="str">
        <f>"4170066554                    "</f>
        <v xml:space="preserve">4170066554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43.23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4</v>
      </c>
      <c r="BJ3471">
        <v>1.8</v>
      </c>
      <c r="BK3471">
        <v>4</v>
      </c>
      <c r="BL3471">
        <v>143.08000000000001</v>
      </c>
      <c r="BM3471">
        <v>21.46</v>
      </c>
      <c r="BN3471">
        <v>164.54</v>
      </c>
      <c r="BO3471">
        <v>164.54</v>
      </c>
      <c r="BQ3471" t="s">
        <v>874</v>
      </c>
      <c r="BR3471" t="s">
        <v>97</v>
      </c>
      <c r="BS3471" t="s">
        <v>2659</v>
      </c>
      <c r="BY3471">
        <v>8816</v>
      </c>
      <c r="CC3471" t="s">
        <v>169</v>
      </c>
      <c r="CD3471" s="5" t="s">
        <v>877</v>
      </c>
      <c r="CE3471" t="s">
        <v>191</v>
      </c>
      <c r="CI3471">
        <v>1</v>
      </c>
      <c r="CJ3471" t="s">
        <v>2659</v>
      </c>
      <c r="CK3471">
        <v>41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"080068823084"</f>
        <v>080068823084</v>
      </c>
      <c r="F3472" s="3">
        <v>45959</v>
      </c>
      <c r="G3472">
        <v>202607</v>
      </c>
      <c r="H3472" t="s">
        <v>79</v>
      </c>
      <c r="I3472" t="s">
        <v>80</v>
      </c>
      <c r="J3472" t="s">
        <v>91</v>
      </c>
      <c r="K3472" t="s">
        <v>78</v>
      </c>
      <c r="L3472" t="s">
        <v>350</v>
      </c>
      <c r="M3472" t="s">
        <v>351</v>
      </c>
      <c r="N3472" t="s">
        <v>2636</v>
      </c>
      <c r="O3472" t="s">
        <v>82</v>
      </c>
      <c r="P3472" t="str">
        <f>"4170066642                    "</f>
        <v xml:space="preserve">4170066642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62.87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2.7</v>
      </c>
      <c r="BJ3472">
        <v>0.8</v>
      </c>
      <c r="BK3472">
        <v>3</v>
      </c>
      <c r="BL3472">
        <v>199.55</v>
      </c>
      <c r="BM3472">
        <v>29.93</v>
      </c>
      <c r="BN3472">
        <v>229.48</v>
      </c>
      <c r="BO3472">
        <v>229.48</v>
      </c>
      <c r="BQ3472" t="s">
        <v>2637</v>
      </c>
      <c r="BR3472" t="s">
        <v>97</v>
      </c>
      <c r="BS3472" s="3">
        <v>45960</v>
      </c>
      <c r="BT3472" s="4">
        <v>0.51111111111111107</v>
      </c>
      <c r="BU3472" t="s">
        <v>3616</v>
      </c>
      <c r="BV3472" t="s">
        <v>86</v>
      </c>
      <c r="BY3472">
        <v>3974.4</v>
      </c>
      <c r="CA3472" t="s">
        <v>3496</v>
      </c>
      <c r="CC3472" t="s">
        <v>351</v>
      </c>
      <c r="CD3472" s="5" t="s">
        <v>356</v>
      </c>
      <c r="CE3472" t="s">
        <v>191</v>
      </c>
      <c r="CI3472">
        <v>1</v>
      </c>
      <c r="CJ3472">
        <v>1</v>
      </c>
      <c r="CK3472">
        <v>23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"080068823136"</f>
        <v>080068823136</v>
      </c>
      <c r="F3473" s="3">
        <v>45959</v>
      </c>
      <c r="G3473">
        <v>202607</v>
      </c>
      <c r="H3473" t="s">
        <v>79</v>
      </c>
      <c r="I3473" t="s">
        <v>80</v>
      </c>
      <c r="J3473" t="s">
        <v>91</v>
      </c>
      <c r="K3473" t="s">
        <v>78</v>
      </c>
      <c r="L3473" t="s">
        <v>985</v>
      </c>
      <c r="M3473" t="s">
        <v>986</v>
      </c>
      <c r="N3473" t="s">
        <v>987</v>
      </c>
      <c r="O3473" t="s">
        <v>82</v>
      </c>
      <c r="P3473" t="str">
        <f>"4170066648                    "</f>
        <v xml:space="preserve">4170066648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61.45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2</v>
      </c>
      <c r="BJ3473">
        <v>5.5</v>
      </c>
      <c r="BK3473">
        <v>5.5</v>
      </c>
      <c r="BL3473">
        <v>195.03</v>
      </c>
      <c r="BM3473">
        <v>29.25</v>
      </c>
      <c r="BN3473">
        <v>224.28</v>
      </c>
      <c r="BO3473">
        <v>224.28</v>
      </c>
      <c r="BQ3473" t="s">
        <v>988</v>
      </c>
      <c r="BR3473" t="s">
        <v>97</v>
      </c>
      <c r="BS3473" t="s">
        <v>2659</v>
      </c>
      <c r="BY3473">
        <v>27744</v>
      </c>
      <c r="CC3473" t="s">
        <v>986</v>
      </c>
      <c r="CD3473">
        <v>7600</v>
      </c>
      <c r="CE3473" t="s">
        <v>107</v>
      </c>
      <c r="CI3473">
        <v>1</v>
      </c>
      <c r="CJ3473" t="s">
        <v>2659</v>
      </c>
      <c r="CK3473">
        <v>21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"080068823179"</f>
        <v>080068823179</v>
      </c>
      <c r="F3474" s="3">
        <v>45959</v>
      </c>
      <c r="G3474">
        <v>202607</v>
      </c>
      <c r="H3474" t="s">
        <v>79</v>
      </c>
      <c r="I3474" t="s">
        <v>80</v>
      </c>
      <c r="J3474" t="s">
        <v>91</v>
      </c>
      <c r="K3474" t="s">
        <v>78</v>
      </c>
      <c r="L3474" t="s">
        <v>884</v>
      </c>
      <c r="M3474" t="s">
        <v>885</v>
      </c>
      <c r="N3474" t="s">
        <v>886</v>
      </c>
      <c r="O3474" t="s">
        <v>82</v>
      </c>
      <c r="P3474" t="str">
        <f>"4170066570                    "</f>
        <v xml:space="preserve">4170066570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160.66999999999999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7.8</v>
      </c>
      <c r="BJ3474">
        <v>4</v>
      </c>
      <c r="BK3474">
        <v>8</v>
      </c>
      <c r="BL3474">
        <v>509.95</v>
      </c>
      <c r="BM3474">
        <v>76.489999999999995</v>
      </c>
      <c r="BN3474">
        <v>586.44000000000005</v>
      </c>
      <c r="BO3474">
        <v>586.44000000000005</v>
      </c>
      <c r="BQ3474" t="s">
        <v>887</v>
      </c>
      <c r="BR3474" t="s">
        <v>97</v>
      </c>
      <c r="BS3474" t="s">
        <v>2659</v>
      </c>
      <c r="BY3474">
        <v>19891.2</v>
      </c>
      <c r="CC3474" t="s">
        <v>885</v>
      </c>
      <c r="CD3474">
        <v>2740</v>
      </c>
      <c r="CE3474" t="s">
        <v>107</v>
      </c>
      <c r="CI3474">
        <v>1</v>
      </c>
      <c r="CJ3474" t="s">
        <v>2659</v>
      </c>
      <c r="CK3474">
        <v>23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"080068823196"</f>
        <v>080068823196</v>
      </c>
      <c r="F3475" s="3">
        <v>45959</v>
      </c>
      <c r="G3475">
        <v>202607</v>
      </c>
      <c r="H3475" t="s">
        <v>79</v>
      </c>
      <c r="I3475" t="s">
        <v>80</v>
      </c>
      <c r="J3475" t="s">
        <v>91</v>
      </c>
      <c r="K3475" t="s">
        <v>78</v>
      </c>
      <c r="L3475" t="s">
        <v>530</v>
      </c>
      <c r="M3475" t="s">
        <v>531</v>
      </c>
      <c r="N3475" t="s">
        <v>754</v>
      </c>
      <c r="O3475" t="s">
        <v>82</v>
      </c>
      <c r="P3475" t="str">
        <f>"4170066544                    "</f>
        <v xml:space="preserve">4170066544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72.650000000000006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</v>
      </c>
      <c r="BJ3475">
        <v>3.4</v>
      </c>
      <c r="BK3475">
        <v>3.5</v>
      </c>
      <c r="BL3475">
        <v>230.59</v>
      </c>
      <c r="BM3475">
        <v>34.590000000000003</v>
      </c>
      <c r="BN3475">
        <v>265.18</v>
      </c>
      <c r="BO3475">
        <v>265.18</v>
      </c>
      <c r="BQ3475" t="s">
        <v>755</v>
      </c>
      <c r="BR3475" t="s">
        <v>97</v>
      </c>
      <c r="BS3475" t="s">
        <v>2659</v>
      </c>
      <c r="BY3475">
        <v>16965</v>
      </c>
      <c r="CC3475" t="s">
        <v>531</v>
      </c>
      <c r="CD3475">
        <v>6850</v>
      </c>
      <c r="CE3475" t="s">
        <v>191</v>
      </c>
      <c r="CI3475">
        <v>2</v>
      </c>
      <c r="CJ3475" t="s">
        <v>2659</v>
      </c>
      <c r="CK3475">
        <v>23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"080068823363"</f>
        <v>080068823363</v>
      </c>
      <c r="F3476" s="3">
        <v>45959</v>
      </c>
      <c r="G3476">
        <v>202607</v>
      </c>
      <c r="H3476" t="s">
        <v>79</v>
      </c>
      <c r="I3476" t="s">
        <v>80</v>
      </c>
      <c r="J3476" t="s">
        <v>91</v>
      </c>
      <c r="K3476" t="s">
        <v>78</v>
      </c>
      <c r="L3476" t="s">
        <v>206</v>
      </c>
      <c r="M3476" t="s">
        <v>207</v>
      </c>
      <c r="N3476" t="s">
        <v>427</v>
      </c>
      <c r="O3476" t="s">
        <v>82</v>
      </c>
      <c r="P3476" t="str">
        <f>"4170066675                    "</f>
        <v xml:space="preserve">4170066675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22.36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70.959999999999994</v>
      </c>
      <c r="BM3476">
        <v>10.64</v>
      </c>
      <c r="BN3476">
        <v>81.599999999999994</v>
      </c>
      <c r="BO3476">
        <v>81.599999999999994</v>
      </c>
      <c r="BQ3476" t="s">
        <v>428</v>
      </c>
      <c r="BR3476" t="s">
        <v>97</v>
      </c>
      <c r="BS3476" s="3">
        <v>45960</v>
      </c>
      <c r="BT3476" s="4">
        <v>0.31736111111111109</v>
      </c>
      <c r="BU3476" t="s">
        <v>429</v>
      </c>
      <c r="BV3476" t="s">
        <v>86</v>
      </c>
      <c r="BY3476">
        <v>1200</v>
      </c>
      <c r="CA3476" t="s">
        <v>423</v>
      </c>
      <c r="CC3476" t="s">
        <v>207</v>
      </c>
      <c r="CD3476">
        <v>7530</v>
      </c>
      <c r="CE3476" t="s">
        <v>147</v>
      </c>
      <c r="CI3476">
        <v>1</v>
      </c>
      <c r="CJ3476">
        <v>1</v>
      </c>
      <c r="CK3476">
        <v>21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"080068823396"</f>
        <v>080068823396</v>
      </c>
      <c r="F3477" s="3">
        <v>45959</v>
      </c>
      <c r="G3477">
        <v>202607</v>
      </c>
      <c r="H3477" t="s">
        <v>79</v>
      </c>
      <c r="I3477" t="s">
        <v>80</v>
      </c>
      <c r="J3477" t="s">
        <v>91</v>
      </c>
      <c r="K3477" t="s">
        <v>78</v>
      </c>
      <c r="L3477" t="s">
        <v>168</v>
      </c>
      <c r="M3477" t="s">
        <v>169</v>
      </c>
      <c r="N3477" t="s">
        <v>923</v>
      </c>
      <c r="O3477" t="s">
        <v>95</v>
      </c>
      <c r="P3477" t="str">
        <f>"4170066545                    "</f>
        <v xml:space="preserve">4170066545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43.23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4</v>
      </c>
      <c r="BJ3477">
        <v>9.1</v>
      </c>
      <c r="BK3477">
        <v>10</v>
      </c>
      <c r="BL3477">
        <v>143.08000000000001</v>
      </c>
      <c r="BM3477">
        <v>21.46</v>
      </c>
      <c r="BN3477">
        <v>164.54</v>
      </c>
      <c r="BO3477">
        <v>164.54</v>
      </c>
      <c r="BQ3477" t="s">
        <v>924</v>
      </c>
      <c r="BR3477" t="s">
        <v>97</v>
      </c>
      <c r="BS3477" s="3">
        <v>45960</v>
      </c>
      <c r="BT3477" s="4">
        <v>0.33888888888888891</v>
      </c>
      <c r="BU3477" t="s">
        <v>1121</v>
      </c>
      <c r="BV3477" t="s">
        <v>86</v>
      </c>
      <c r="BY3477">
        <v>45486</v>
      </c>
      <c r="CA3477">
        <v>9107126013089</v>
      </c>
      <c r="CC3477" t="s">
        <v>169</v>
      </c>
      <c r="CD3477" s="5" t="s">
        <v>926</v>
      </c>
      <c r="CE3477" t="s">
        <v>191</v>
      </c>
      <c r="CI3477">
        <v>1</v>
      </c>
      <c r="CJ3477">
        <v>1</v>
      </c>
      <c r="CK3477">
        <v>41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"080068823442"</f>
        <v>080068823442</v>
      </c>
      <c r="F3478" s="3">
        <v>45959</v>
      </c>
      <c r="G3478">
        <v>202607</v>
      </c>
      <c r="H3478" t="s">
        <v>79</v>
      </c>
      <c r="I3478" t="s">
        <v>80</v>
      </c>
      <c r="J3478" t="s">
        <v>91</v>
      </c>
      <c r="K3478" t="s">
        <v>78</v>
      </c>
      <c r="L3478" t="s">
        <v>114</v>
      </c>
      <c r="M3478" t="s">
        <v>115</v>
      </c>
      <c r="N3478" t="s">
        <v>881</v>
      </c>
      <c r="O3478" t="s">
        <v>82</v>
      </c>
      <c r="P3478" t="str">
        <f>"4170066676                    "</f>
        <v xml:space="preserve">4170066676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22.36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2</v>
      </c>
      <c r="BJ3478">
        <v>1.8</v>
      </c>
      <c r="BK3478">
        <v>2</v>
      </c>
      <c r="BL3478">
        <v>70.959999999999994</v>
      </c>
      <c r="BM3478">
        <v>10.64</v>
      </c>
      <c r="BN3478">
        <v>81.599999999999994</v>
      </c>
      <c r="BO3478">
        <v>81.599999999999994</v>
      </c>
      <c r="BQ3478" t="s">
        <v>882</v>
      </c>
      <c r="BR3478" t="s">
        <v>97</v>
      </c>
      <c r="BS3478" s="3">
        <v>45960</v>
      </c>
      <c r="BT3478" s="4">
        <v>0.51458333333333328</v>
      </c>
      <c r="BU3478" t="s">
        <v>3091</v>
      </c>
      <c r="BV3478" t="s">
        <v>90</v>
      </c>
      <c r="BY3478">
        <v>8816</v>
      </c>
      <c r="CA3478" t="s">
        <v>3092</v>
      </c>
      <c r="CC3478" t="s">
        <v>115</v>
      </c>
      <c r="CD3478">
        <v>5201</v>
      </c>
      <c r="CE3478" t="s">
        <v>191</v>
      </c>
      <c r="CI3478">
        <v>1</v>
      </c>
      <c r="CJ3478">
        <v>1</v>
      </c>
      <c r="CK3478">
        <v>21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"080068823488"</f>
        <v>080068823488</v>
      </c>
      <c r="F3479" s="3">
        <v>45959</v>
      </c>
      <c r="G3479">
        <v>202607</v>
      </c>
      <c r="H3479" t="s">
        <v>79</v>
      </c>
      <c r="I3479" t="s">
        <v>80</v>
      </c>
      <c r="J3479" t="s">
        <v>91</v>
      </c>
      <c r="K3479" t="s">
        <v>78</v>
      </c>
      <c r="L3479" t="s">
        <v>79</v>
      </c>
      <c r="M3479" t="s">
        <v>80</v>
      </c>
      <c r="N3479" t="s">
        <v>3617</v>
      </c>
      <c r="O3479" t="s">
        <v>226</v>
      </c>
      <c r="P3479" t="str">
        <f>"4170066610                    "</f>
        <v xml:space="preserve">4170066610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19.43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4</v>
      </c>
      <c r="BJ3479">
        <v>8.9</v>
      </c>
      <c r="BK3479">
        <v>9</v>
      </c>
      <c r="BL3479">
        <v>61.66</v>
      </c>
      <c r="BM3479">
        <v>9.25</v>
      </c>
      <c r="BN3479">
        <v>70.91</v>
      </c>
      <c r="BO3479">
        <v>70.91</v>
      </c>
      <c r="BQ3479" t="s">
        <v>3618</v>
      </c>
      <c r="BR3479" t="s">
        <v>97</v>
      </c>
      <c r="BS3479" s="3">
        <v>45960</v>
      </c>
      <c r="BT3479" s="4">
        <v>0.40277777777777779</v>
      </c>
      <c r="BU3479" t="s">
        <v>2755</v>
      </c>
      <c r="BV3479" t="s">
        <v>86</v>
      </c>
      <c r="BY3479">
        <v>44640</v>
      </c>
      <c r="CA3479" t="s">
        <v>918</v>
      </c>
      <c r="CC3479" t="s">
        <v>80</v>
      </c>
      <c r="CD3479">
        <v>1685</v>
      </c>
      <c r="CE3479" t="s">
        <v>191</v>
      </c>
      <c r="CI3479">
        <v>1</v>
      </c>
      <c r="CJ3479">
        <v>1</v>
      </c>
      <c r="CK3479">
        <v>32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"080068823557"</f>
        <v>080068823557</v>
      </c>
      <c r="F3480" s="3">
        <v>45959</v>
      </c>
      <c r="G3480">
        <v>202607</v>
      </c>
      <c r="H3480" t="s">
        <v>79</v>
      </c>
      <c r="I3480" t="s">
        <v>80</v>
      </c>
      <c r="J3480" t="s">
        <v>91</v>
      </c>
      <c r="K3480" t="s">
        <v>78</v>
      </c>
      <c r="L3480" t="s">
        <v>605</v>
      </c>
      <c r="M3480" t="s">
        <v>606</v>
      </c>
      <c r="N3480" t="s">
        <v>607</v>
      </c>
      <c r="O3480" t="s">
        <v>82</v>
      </c>
      <c r="P3480" t="str">
        <f>"4170066552                    "</f>
        <v xml:space="preserve">4170066552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43.31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137.47</v>
      </c>
      <c r="BM3480">
        <v>20.62</v>
      </c>
      <c r="BN3480">
        <v>158.09</v>
      </c>
      <c r="BO3480">
        <v>158.09</v>
      </c>
      <c r="BQ3480" t="s">
        <v>608</v>
      </c>
      <c r="BR3480" t="s">
        <v>97</v>
      </c>
      <c r="BS3480" s="3">
        <v>45960</v>
      </c>
      <c r="BT3480" s="4">
        <v>0.32569444444444445</v>
      </c>
      <c r="BU3480" t="s">
        <v>609</v>
      </c>
      <c r="BV3480" t="s">
        <v>86</v>
      </c>
      <c r="BY3480">
        <v>1200</v>
      </c>
      <c r="CA3480" t="s">
        <v>1143</v>
      </c>
      <c r="CC3480" t="s">
        <v>606</v>
      </c>
      <c r="CD3480">
        <v>1947</v>
      </c>
      <c r="CE3480" t="s">
        <v>147</v>
      </c>
      <c r="CI3480">
        <v>1</v>
      </c>
      <c r="CJ3480">
        <v>1</v>
      </c>
      <c r="CK3480">
        <v>23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"R080068492190"</f>
        <v>R080068492190</v>
      </c>
      <c r="F3481" s="3">
        <v>45946</v>
      </c>
      <c r="G3481">
        <v>202607</v>
      </c>
      <c r="H3481" t="s">
        <v>148</v>
      </c>
      <c r="I3481" t="s">
        <v>149</v>
      </c>
      <c r="J3481" t="s">
        <v>1248</v>
      </c>
      <c r="K3481" t="s">
        <v>78</v>
      </c>
      <c r="L3481" t="s">
        <v>218</v>
      </c>
      <c r="M3481" t="s">
        <v>219</v>
      </c>
      <c r="N3481" t="s">
        <v>3619</v>
      </c>
      <c r="O3481" t="s">
        <v>95</v>
      </c>
      <c r="P3481" t="str">
        <f>"4170064086                    "</f>
        <v xml:space="preserve">4170064086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4</v>
      </c>
      <c r="BJ3481">
        <v>0</v>
      </c>
      <c r="BK3481">
        <v>4</v>
      </c>
      <c r="BL3481">
        <v>0</v>
      </c>
      <c r="BM3481">
        <v>0</v>
      </c>
      <c r="BN3481">
        <v>0</v>
      </c>
      <c r="BO3481">
        <v>0</v>
      </c>
      <c r="BQ3481" s="5" t="s">
        <v>3620</v>
      </c>
      <c r="BR3481" t="s">
        <v>1249</v>
      </c>
      <c r="BS3481" s="3">
        <v>45947</v>
      </c>
      <c r="BT3481" s="4">
        <v>0.38541666666666669</v>
      </c>
      <c r="BU3481" t="s">
        <v>3199</v>
      </c>
      <c r="BV3481" t="s">
        <v>86</v>
      </c>
      <c r="BY3481">
        <v>8550</v>
      </c>
      <c r="CA3481" t="s">
        <v>1434</v>
      </c>
      <c r="CC3481" t="s">
        <v>219</v>
      </c>
      <c r="CD3481">
        <v>1559</v>
      </c>
      <c r="CE3481" t="s">
        <v>191</v>
      </c>
      <c r="CF3481" s="3">
        <v>45947</v>
      </c>
      <c r="CI3481">
        <v>1</v>
      </c>
      <c r="CJ3481">
        <v>1</v>
      </c>
      <c r="CK3481">
        <v>-1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"080011660150"</f>
        <v>080011660150</v>
      </c>
      <c r="F3482" s="3">
        <v>45959</v>
      </c>
      <c r="G3482">
        <v>202607</v>
      </c>
      <c r="H3482" t="s">
        <v>322</v>
      </c>
      <c r="I3482" t="s">
        <v>322</v>
      </c>
      <c r="J3482" t="s">
        <v>3621</v>
      </c>
      <c r="K3482" t="s">
        <v>78</v>
      </c>
      <c r="L3482" t="s">
        <v>79</v>
      </c>
      <c r="M3482" t="s">
        <v>80</v>
      </c>
      <c r="N3482" t="s">
        <v>81</v>
      </c>
      <c r="O3482" t="s">
        <v>82</v>
      </c>
      <c r="P3482" t="str">
        <f>"ZA1001422909                  "</f>
        <v xml:space="preserve">ZA1001422909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43.31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0.7</v>
      </c>
      <c r="BK3482">
        <v>1</v>
      </c>
      <c r="BL3482">
        <v>137.47</v>
      </c>
      <c r="BM3482">
        <v>20.62</v>
      </c>
      <c r="BN3482">
        <v>158.09</v>
      </c>
      <c r="BO3482">
        <v>158.09</v>
      </c>
      <c r="BQ3482" t="s">
        <v>83</v>
      </c>
      <c r="BR3482" t="s">
        <v>3622</v>
      </c>
      <c r="BS3482" t="s">
        <v>2659</v>
      </c>
      <c r="BY3482">
        <v>3525</v>
      </c>
      <c r="BZ3482" t="s">
        <v>87</v>
      </c>
      <c r="CC3482" t="s">
        <v>80</v>
      </c>
      <c r="CD3482">
        <v>1619</v>
      </c>
      <c r="CE3482" t="s">
        <v>89</v>
      </c>
      <c r="CI3482">
        <v>1</v>
      </c>
      <c r="CJ3482" t="s">
        <v>2659</v>
      </c>
      <c r="CK3482">
        <v>23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"080068823600"</f>
        <v>080068823600</v>
      </c>
      <c r="F3483" s="3">
        <v>45959</v>
      </c>
      <c r="G3483">
        <v>202607</v>
      </c>
      <c r="H3483" t="s">
        <v>79</v>
      </c>
      <c r="I3483" t="s">
        <v>80</v>
      </c>
      <c r="J3483" t="s">
        <v>91</v>
      </c>
      <c r="K3483" t="s">
        <v>78</v>
      </c>
      <c r="L3483" t="s">
        <v>79</v>
      </c>
      <c r="M3483" t="s">
        <v>80</v>
      </c>
      <c r="N3483" t="s">
        <v>163</v>
      </c>
      <c r="O3483" t="s">
        <v>82</v>
      </c>
      <c r="P3483" t="str">
        <f>"4170066640                    "</f>
        <v xml:space="preserve">4170066640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17.46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55.42</v>
      </c>
      <c r="BM3483">
        <v>8.31</v>
      </c>
      <c r="BN3483">
        <v>63.73</v>
      </c>
      <c r="BO3483">
        <v>63.73</v>
      </c>
      <c r="BQ3483" t="s">
        <v>164</v>
      </c>
      <c r="BR3483" t="s">
        <v>97</v>
      </c>
      <c r="BS3483" s="3">
        <v>45960</v>
      </c>
      <c r="BT3483" s="4">
        <v>0.31944444444444442</v>
      </c>
      <c r="BU3483" t="s">
        <v>579</v>
      </c>
      <c r="BV3483" t="s">
        <v>86</v>
      </c>
      <c r="BY3483">
        <v>1200</v>
      </c>
      <c r="CA3483" t="s">
        <v>166</v>
      </c>
      <c r="CC3483" t="s">
        <v>80</v>
      </c>
      <c r="CD3483">
        <v>1600</v>
      </c>
      <c r="CE3483" t="s">
        <v>147</v>
      </c>
      <c r="CI3483">
        <v>1</v>
      </c>
      <c r="CJ3483">
        <v>1</v>
      </c>
      <c r="CK3483">
        <v>22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"080068823632"</f>
        <v>080068823632</v>
      </c>
      <c r="F3484" s="3">
        <v>45959</v>
      </c>
      <c r="G3484">
        <v>202607</v>
      </c>
      <c r="H3484" t="s">
        <v>79</v>
      </c>
      <c r="I3484" t="s">
        <v>80</v>
      </c>
      <c r="J3484" t="s">
        <v>91</v>
      </c>
      <c r="K3484" t="s">
        <v>78</v>
      </c>
      <c r="L3484" t="s">
        <v>79</v>
      </c>
      <c r="M3484" t="s">
        <v>80</v>
      </c>
      <c r="N3484" t="s">
        <v>3601</v>
      </c>
      <c r="O3484" t="s">
        <v>82</v>
      </c>
      <c r="P3484" t="str">
        <f>"4170066551                    "</f>
        <v xml:space="preserve">4170066551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17.46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55.42</v>
      </c>
      <c r="BM3484">
        <v>8.31</v>
      </c>
      <c r="BN3484">
        <v>63.73</v>
      </c>
      <c r="BO3484">
        <v>63.73</v>
      </c>
      <c r="BQ3484" t="s">
        <v>3602</v>
      </c>
      <c r="BR3484" t="s">
        <v>97</v>
      </c>
      <c r="BS3484" s="3">
        <v>45960</v>
      </c>
      <c r="BT3484" s="4">
        <v>0.32777777777777778</v>
      </c>
      <c r="BU3484" t="s">
        <v>579</v>
      </c>
      <c r="BV3484" t="s">
        <v>86</v>
      </c>
      <c r="BY3484">
        <v>1200</v>
      </c>
      <c r="CA3484" t="s">
        <v>88</v>
      </c>
      <c r="CC3484" t="s">
        <v>80</v>
      </c>
      <c r="CD3484">
        <v>1600</v>
      </c>
      <c r="CE3484" t="s">
        <v>147</v>
      </c>
      <c r="CI3484">
        <v>1</v>
      </c>
      <c r="CJ3484">
        <v>1</v>
      </c>
      <c r="CK3484">
        <v>22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"080068823649"</f>
        <v>080068823649</v>
      </c>
      <c r="F3485" s="3">
        <v>45959</v>
      </c>
      <c r="G3485">
        <v>202607</v>
      </c>
      <c r="H3485" t="s">
        <v>79</v>
      </c>
      <c r="I3485" t="s">
        <v>80</v>
      </c>
      <c r="J3485" t="s">
        <v>91</v>
      </c>
      <c r="K3485" t="s">
        <v>78</v>
      </c>
      <c r="L3485" t="s">
        <v>322</v>
      </c>
      <c r="M3485" t="s">
        <v>322</v>
      </c>
      <c r="N3485" t="s">
        <v>481</v>
      </c>
      <c r="O3485" t="s">
        <v>82</v>
      </c>
      <c r="P3485" t="str">
        <f>"4170066662                    "</f>
        <v xml:space="preserve">4170066662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43.31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137.47</v>
      </c>
      <c r="BM3485">
        <v>20.62</v>
      </c>
      <c r="BN3485">
        <v>158.09</v>
      </c>
      <c r="BO3485">
        <v>158.09</v>
      </c>
      <c r="BQ3485" t="s">
        <v>482</v>
      </c>
      <c r="BR3485" t="s">
        <v>97</v>
      </c>
      <c r="BS3485" t="s">
        <v>2659</v>
      </c>
      <c r="BY3485">
        <v>1200</v>
      </c>
      <c r="CC3485" t="s">
        <v>322</v>
      </c>
      <c r="CD3485">
        <v>7646</v>
      </c>
      <c r="CE3485" t="s">
        <v>147</v>
      </c>
      <c r="CI3485">
        <v>1</v>
      </c>
      <c r="CJ3485" t="s">
        <v>2659</v>
      </c>
      <c r="CK3485">
        <v>23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"080068823656"</f>
        <v>080068823656</v>
      </c>
      <c r="F3486" s="3">
        <v>45959</v>
      </c>
      <c r="G3486">
        <v>202607</v>
      </c>
      <c r="H3486" t="s">
        <v>79</v>
      </c>
      <c r="I3486" t="s">
        <v>80</v>
      </c>
      <c r="J3486" t="s">
        <v>91</v>
      </c>
      <c r="K3486" t="s">
        <v>78</v>
      </c>
      <c r="L3486" t="s">
        <v>985</v>
      </c>
      <c r="M3486" t="s">
        <v>986</v>
      </c>
      <c r="N3486" t="s">
        <v>987</v>
      </c>
      <c r="O3486" t="s">
        <v>82</v>
      </c>
      <c r="P3486" t="str">
        <f>"4170066649                    "</f>
        <v xml:space="preserve">4170066649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61.45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3</v>
      </c>
      <c r="BJ3486">
        <v>5.3</v>
      </c>
      <c r="BK3486">
        <v>5.5</v>
      </c>
      <c r="BL3486">
        <v>195.03</v>
      </c>
      <c r="BM3486">
        <v>29.25</v>
      </c>
      <c r="BN3486">
        <v>224.28</v>
      </c>
      <c r="BO3486">
        <v>224.28</v>
      </c>
      <c r="BQ3486" t="s">
        <v>988</v>
      </c>
      <c r="BR3486" t="s">
        <v>97</v>
      </c>
      <c r="BS3486" t="s">
        <v>2659</v>
      </c>
      <c r="BY3486">
        <v>26400</v>
      </c>
      <c r="CC3486" t="s">
        <v>986</v>
      </c>
      <c r="CD3486">
        <v>7600</v>
      </c>
      <c r="CE3486" t="s">
        <v>1262</v>
      </c>
      <c r="CI3486">
        <v>1</v>
      </c>
      <c r="CJ3486" t="s">
        <v>2659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"080068823681"</f>
        <v>080068823681</v>
      </c>
      <c r="F3487" s="3">
        <v>45959</v>
      </c>
      <c r="G3487">
        <v>202607</v>
      </c>
      <c r="H3487" t="s">
        <v>79</v>
      </c>
      <c r="I3487" t="s">
        <v>80</v>
      </c>
      <c r="J3487" t="s">
        <v>91</v>
      </c>
      <c r="K3487" t="s">
        <v>78</v>
      </c>
      <c r="L3487" t="s">
        <v>148</v>
      </c>
      <c r="M3487" t="s">
        <v>149</v>
      </c>
      <c r="N3487" t="s">
        <v>3623</v>
      </c>
      <c r="O3487" t="s">
        <v>82</v>
      </c>
      <c r="P3487" t="str">
        <f>"4170066663                    "</f>
        <v xml:space="preserve">4170066663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17.46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55.42</v>
      </c>
      <c r="BM3487">
        <v>8.31</v>
      </c>
      <c r="BN3487">
        <v>63.73</v>
      </c>
      <c r="BO3487">
        <v>63.73</v>
      </c>
      <c r="BQ3487" t="s">
        <v>3624</v>
      </c>
      <c r="BR3487" t="s">
        <v>97</v>
      </c>
      <c r="BS3487" t="s">
        <v>2659</v>
      </c>
      <c r="BY3487">
        <v>1200</v>
      </c>
      <c r="CC3487" t="s">
        <v>149</v>
      </c>
      <c r="CD3487">
        <v>2008</v>
      </c>
      <c r="CE3487" t="s">
        <v>147</v>
      </c>
      <c r="CI3487">
        <v>1</v>
      </c>
      <c r="CJ3487" t="s">
        <v>2659</v>
      </c>
      <c r="CK3487">
        <v>22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"080068823708"</f>
        <v>080068823708</v>
      </c>
      <c r="F3488" s="3">
        <v>45959</v>
      </c>
      <c r="G3488">
        <v>202607</v>
      </c>
      <c r="H3488" t="s">
        <v>79</v>
      </c>
      <c r="I3488" t="s">
        <v>80</v>
      </c>
      <c r="J3488" t="s">
        <v>91</v>
      </c>
      <c r="K3488" t="s">
        <v>78</v>
      </c>
      <c r="L3488" t="s">
        <v>446</v>
      </c>
      <c r="M3488" t="s">
        <v>447</v>
      </c>
      <c r="N3488" t="s">
        <v>448</v>
      </c>
      <c r="O3488" t="s">
        <v>82</v>
      </c>
      <c r="P3488" t="str">
        <f>"4170066644                    "</f>
        <v xml:space="preserve">4170066644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43.31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137.47</v>
      </c>
      <c r="BM3488">
        <v>20.62</v>
      </c>
      <c r="BN3488">
        <v>158.09</v>
      </c>
      <c r="BO3488">
        <v>158.09</v>
      </c>
      <c r="BQ3488" t="s">
        <v>449</v>
      </c>
      <c r="BR3488" t="s">
        <v>97</v>
      </c>
      <c r="BS3488" s="3">
        <v>45960</v>
      </c>
      <c r="BT3488" s="4">
        <v>0.45069444444444445</v>
      </c>
      <c r="BU3488" t="s">
        <v>450</v>
      </c>
      <c r="BV3488" t="s">
        <v>86</v>
      </c>
      <c r="BY3488">
        <v>1200</v>
      </c>
      <c r="CA3488" t="s">
        <v>1124</v>
      </c>
      <c r="CC3488" t="s">
        <v>447</v>
      </c>
      <c r="CD3488">
        <v>7130</v>
      </c>
      <c r="CE3488" t="s">
        <v>147</v>
      </c>
      <c r="CI3488">
        <v>1</v>
      </c>
      <c r="CJ3488">
        <v>1</v>
      </c>
      <c r="CK3488">
        <v>23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"080068823790"</f>
        <v>080068823790</v>
      </c>
      <c r="F3489" s="3">
        <v>45959</v>
      </c>
      <c r="G3489">
        <v>202607</v>
      </c>
      <c r="H3489" t="s">
        <v>79</v>
      </c>
      <c r="I3489" t="s">
        <v>80</v>
      </c>
      <c r="J3489" t="s">
        <v>91</v>
      </c>
      <c r="K3489" t="s">
        <v>78</v>
      </c>
      <c r="L3489" t="s">
        <v>108</v>
      </c>
      <c r="M3489" t="s">
        <v>109</v>
      </c>
      <c r="N3489" t="s">
        <v>229</v>
      </c>
      <c r="O3489" t="s">
        <v>82</v>
      </c>
      <c r="P3489" t="str">
        <f>"4170066665                    "</f>
        <v xml:space="preserve">4170066665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22.36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70.959999999999994</v>
      </c>
      <c r="BM3489">
        <v>10.64</v>
      </c>
      <c r="BN3489">
        <v>81.599999999999994</v>
      </c>
      <c r="BO3489">
        <v>81.599999999999994</v>
      </c>
      <c r="BQ3489" t="s">
        <v>230</v>
      </c>
      <c r="BR3489" t="s">
        <v>97</v>
      </c>
      <c r="BS3489" s="3">
        <v>45960</v>
      </c>
      <c r="BT3489" s="4">
        <v>0.41458333333333336</v>
      </c>
      <c r="BU3489" t="s">
        <v>3625</v>
      </c>
      <c r="BV3489" t="s">
        <v>86</v>
      </c>
      <c r="BY3489">
        <v>1200</v>
      </c>
      <c r="CA3489" t="s">
        <v>1145</v>
      </c>
      <c r="CC3489" t="s">
        <v>109</v>
      </c>
      <c r="CD3489">
        <v>6001</v>
      </c>
      <c r="CE3489" t="s">
        <v>147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"080068823906"</f>
        <v>080068823906</v>
      </c>
      <c r="F3490" s="3">
        <v>45959</v>
      </c>
      <c r="G3490">
        <v>202607</v>
      </c>
      <c r="H3490" t="s">
        <v>79</v>
      </c>
      <c r="I3490" t="s">
        <v>80</v>
      </c>
      <c r="J3490" t="s">
        <v>91</v>
      </c>
      <c r="K3490" t="s">
        <v>78</v>
      </c>
      <c r="L3490" t="s">
        <v>108</v>
      </c>
      <c r="M3490" t="s">
        <v>109</v>
      </c>
      <c r="N3490" t="s">
        <v>379</v>
      </c>
      <c r="O3490" t="s">
        <v>82</v>
      </c>
      <c r="P3490" t="str">
        <f>"4170066543                    "</f>
        <v xml:space="preserve">4170066543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22.36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70.959999999999994</v>
      </c>
      <c r="BM3490">
        <v>10.64</v>
      </c>
      <c r="BN3490">
        <v>81.599999999999994</v>
      </c>
      <c r="BO3490">
        <v>81.599999999999994</v>
      </c>
      <c r="BQ3490" t="s">
        <v>380</v>
      </c>
      <c r="BR3490" t="s">
        <v>97</v>
      </c>
      <c r="BS3490" s="3">
        <v>45960</v>
      </c>
      <c r="BT3490" s="4">
        <v>0.42291666666666666</v>
      </c>
      <c r="BU3490" t="s">
        <v>381</v>
      </c>
      <c r="BV3490" t="s">
        <v>86</v>
      </c>
      <c r="BY3490">
        <v>1200</v>
      </c>
      <c r="CA3490" t="s">
        <v>113</v>
      </c>
      <c r="CC3490" t="s">
        <v>109</v>
      </c>
      <c r="CD3490">
        <v>6001</v>
      </c>
      <c r="CE3490" t="s">
        <v>147</v>
      </c>
      <c r="CI3490">
        <v>1</v>
      </c>
      <c r="CJ3490">
        <v>1</v>
      </c>
      <c r="CK3490">
        <v>21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"080068823941"</f>
        <v>080068823941</v>
      </c>
      <c r="F3491" s="3">
        <v>45959</v>
      </c>
      <c r="G3491">
        <v>202607</v>
      </c>
      <c r="H3491" t="s">
        <v>79</v>
      </c>
      <c r="I3491" t="s">
        <v>80</v>
      </c>
      <c r="J3491" t="s">
        <v>91</v>
      </c>
      <c r="K3491" t="s">
        <v>78</v>
      </c>
      <c r="L3491" t="s">
        <v>530</v>
      </c>
      <c r="M3491" t="s">
        <v>531</v>
      </c>
      <c r="N3491" t="s">
        <v>754</v>
      </c>
      <c r="O3491" t="s">
        <v>82</v>
      </c>
      <c r="P3491" t="str">
        <f>"4170066536                    "</f>
        <v xml:space="preserve">4170066536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43.31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137.47</v>
      </c>
      <c r="BM3491">
        <v>20.62</v>
      </c>
      <c r="BN3491">
        <v>158.09</v>
      </c>
      <c r="BO3491">
        <v>158.09</v>
      </c>
      <c r="BQ3491" t="s">
        <v>755</v>
      </c>
      <c r="BR3491" t="s">
        <v>97</v>
      </c>
      <c r="BS3491" t="s">
        <v>2659</v>
      </c>
      <c r="BY3491">
        <v>1200</v>
      </c>
      <c r="CC3491" t="s">
        <v>531</v>
      </c>
      <c r="CD3491">
        <v>6850</v>
      </c>
      <c r="CE3491" t="s">
        <v>147</v>
      </c>
      <c r="CI3491">
        <v>2</v>
      </c>
      <c r="CJ3491" t="s">
        <v>2659</v>
      </c>
      <c r="CK3491">
        <v>23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"080068823976"</f>
        <v>080068823976</v>
      </c>
      <c r="F3492" s="3">
        <v>45959</v>
      </c>
      <c r="G3492">
        <v>202607</v>
      </c>
      <c r="H3492" t="s">
        <v>79</v>
      </c>
      <c r="I3492" t="s">
        <v>80</v>
      </c>
      <c r="J3492" t="s">
        <v>91</v>
      </c>
      <c r="K3492" t="s">
        <v>78</v>
      </c>
      <c r="L3492" t="s">
        <v>605</v>
      </c>
      <c r="M3492" t="s">
        <v>606</v>
      </c>
      <c r="N3492" t="s">
        <v>607</v>
      </c>
      <c r="O3492" t="s">
        <v>82</v>
      </c>
      <c r="P3492" t="str">
        <f>"4170066579                    "</f>
        <v xml:space="preserve">4170066579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43.31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137.47</v>
      </c>
      <c r="BM3492">
        <v>20.62</v>
      </c>
      <c r="BN3492">
        <v>158.09</v>
      </c>
      <c r="BO3492">
        <v>158.09</v>
      </c>
      <c r="BQ3492" t="s">
        <v>608</v>
      </c>
      <c r="BR3492" t="s">
        <v>97</v>
      </c>
      <c r="BS3492" s="3">
        <v>45960</v>
      </c>
      <c r="BT3492" s="4">
        <v>0.32569444444444445</v>
      </c>
      <c r="BU3492" t="s">
        <v>609</v>
      </c>
      <c r="BV3492" t="s">
        <v>86</v>
      </c>
      <c r="BY3492">
        <v>1200</v>
      </c>
      <c r="CA3492" t="s">
        <v>1143</v>
      </c>
      <c r="CC3492" t="s">
        <v>606</v>
      </c>
      <c r="CD3492">
        <v>1947</v>
      </c>
      <c r="CE3492" t="s">
        <v>147</v>
      </c>
      <c r="CI3492">
        <v>1</v>
      </c>
      <c r="CJ3492">
        <v>1</v>
      </c>
      <c r="CK3492">
        <v>23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"080068824000"</f>
        <v>080068824000</v>
      </c>
      <c r="F3493" s="3">
        <v>45959</v>
      </c>
      <c r="G3493">
        <v>202607</v>
      </c>
      <c r="H3493" t="s">
        <v>79</v>
      </c>
      <c r="I3493" t="s">
        <v>80</v>
      </c>
      <c r="J3493" t="s">
        <v>91</v>
      </c>
      <c r="K3493" t="s">
        <v>78</v>
      </c>
      <c r="L3493" t="s">
        <v>148</v>
      </c>
      <c r="M3493" t="s">
        <v>149</v>
      </c>
      <c r="N3493" t="s">
        <v>952</v>
      </c>
      <c r="O3493" t="s">
        <v>82</v>
      </c>
      <c r="P3493" t="str">
        <f>"4170066540                    "</f>
        <v xml:space="preserve">4170066540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17.46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55.42</v>
      </c>
      <c r="BM3493">
        <v>8.31</v>
      </c>
      <c r="BN3493">
        <v>63.73</v>
      </c>
      <c r="BO3493">
        <v>63.73</v>
      </c>
      <c r="BQ3493" t="s">
        <v>953</v>
      </c>
      <c r="BR3493" t="s">
        <v>97</v>
      </c>
      <c r="BS3493" s="3">
        <v>45960</v>
      </c>
      <c r="BT3493" s="4">
        <v>0.37430555555555556</v>
      </c>
      <c r="BU3493" t="s">
        <v>1702</v>
      </c>
      <c r="BV3493" t="s">
        <v>86</v>
      </c>
      <c r="BY3493">
        <v>1200</v>
      </c>
      <c r="CA3493" t="s">
        <v>1217</v>
      </c>
      <c r="CC3493" t="s">
        <v>149</v>
      </c>
      <c r="CD3493">
        <v>2091</v>
      </c>
      <c r="CE3493" t="s">
        <v>147</v>
      </c>
      <c r="CI3493">
        <v>1</v>
      </c>
      <c r="CJ3493">
        <v>1</v>
      </c>
      <c r="CK3493">
        <v>22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"080068824028"</f>
        <v>080068824028</v>
      </c>
      <c r="F3494" s="3">
        <v>45959</v>
      </c>
      <c r="G3494">
        <v>202607</v>
      </c>
      <c r="H3494" t="s">
        <v>79</v>
      </c>
      <c r="I3494" t="s">
        <v>80</v>
      </c>
      <c r="J3494" t="s">
        <v>91</v>
      </c>
      <c r="K3494" t="s">
        <v>78</v>
      </c>
      <c r="L3494" t="s">
        <v>148</v>
      </c>
      <c r="M3494" t="s">
        <v>149</v>
      </c>
      <c r="N3494" t="s">
        <v>465</v>
      </c>
      <c r="O3494" t="s">
        <v>82</v>
      </c>
      <c r="P3494" t="str">
        <f>"4170066626                    "</f>
        <v xml:space="preserve">4170066626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17.46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1.9</v>
      </c>
      <c r="BK3494">
        <v>2</v>
      </c>
      <c r="BL3494">
        <v>55.42</v>
      </c>
      <c r="BM3494">
        <v>8.31</v>
      </c>
      <c r="BN3494">
        <v>63.73</v>
      </c>
      <c r="BO3494">
        <v>63.73</v>
      </c>
      <c r="BQ3494" t="s">
        <v>466</v>
      </c>
      <c r="BR3494" t="s">
        <v>97</v>
      </c>
      <c r="BS3494" s="3">
        <v>45960</v>
      </c>
      <c r="BT3494" s="4">
        <v>0.36180555555555555</v>
      </c>
      <c r="BU3494" t="s">
        <v>1658</v>
      </c>
      <c r="BV3494" t="s">
        <v>86</v>
      </c>
      <c r="BY3494">
        <v>9576</v>
      </c>
      <c r="CA3494" t="s">
        <v>519</v>
      </c>
      <c r="CC3494" t="s">
        <v>149</v>
      </c>
      <c r="CD3494">
        <v>2094</v>
      </c>
      <c r="CE3494" t="s">
        <v>191</v>
      </c>
      <c r="CI3494">
        <v>1</v>
      </c>
      <c r="CJ3494">
        <v>1</v>
      </c>
      <c r="CK3494">
        <v>22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"080068824070"</f>
        <v>080068824070</v>
      </c>
      <c r="F3495" s="3">
        <v>45959</v>
      </c>
      <c r="G3495">
        <v>202607</v>
      </c>
      <c r="H3495" t="s">
        <v>79</v>
      </c>
      <c r="I3495" t="s">
        <v>80</v>
      </c>
      <c r="J3495" t="s">
        <v>91</v>
      </c>
      <c r="K3495" t="s">
        <v>78</v>
      </c>
      <c r="L3495" t="s">
        <v>233</v>
      </c>
      <c r="M3495" t="s">
        <v>234</v>
      </c>
      <c r="N3495" t="s">
        <v>1066</v>
      </c>
      <c r="O3495" t="s">
        <v>82</v>
      </c>
      <c r="P3495" t="str">
        <f>"4170066573                    "</f>
        <v xml:space="preserve">4170066573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22.36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2</v>
      </c>
      <c r="BJ3495">
        <v>1.1000000000000001</v>
      </c>
      <c r="BK3495">
        <v>2</v>
      </c>
      <c r="BL3495">
        <v>70.959999999999994</v>
      </c>
      <c r="BM3495">
        <v>10.64</v>
      </c>
      <c r="BN3495">
        <v>81.599999999999994</v>
      </c>
      <c r="BO3495">
        <v>81.599999999999994</v>
      </c>
      <c r="BQ3495" t="s">
        <v>1067</v>
      </c>
      <c r="BR3495" t="s">
        <v>97</v>
      </c>
      <c r="BS3495" s="3">
        <v>45960</v>
      </c>
      <c r="BT3495" s="4">
        <v>0.35486111111111113</v>
      </c>
      <c r="BU3495" t="s">
        <v>1068</v>
      </c>
      <c r="BV3495" t="s">
        <v>86</v>
      </c>
      <c r="BY3495">
        <v>5320</v>
      </c>
      <c r="CA3495">
        <v>7104145194083</v>
      </c>
      <c r="CC3495" t="s">
        <v>234</v>
      </c>
      <c r="CD3495" s="5" t="s">
        <v>238</v>
      </c>
      <c r="CE3495" t="s">
        <v>191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"080068824096"</f>
        <v>080068824096</v>
      </c>
      <c r="F3496" s="3">
        <v>45959</v>
      </c>
      <c r="G3496">
        <v>202607</v>
      </c>
      <c r="H3496" t="s">
        <v>79</v>
      </c>
      <c r="I3496" t="s">
        <v>80</v>
      </c>
      <c r="J3496" t="s">
        <v>91</v>
      </c>
      <c r="K3496" t="s">
        <v>78</v>
      </c>
      <c r="L3496" t="s">
        <v>206</v>
      </c>
      <c r="M3496" t="s">
        <v>207</v>
      </c>
      <c r="N3496" t="s">
        <v>3626</v>
      </c>
      <c r="O3496" t="s">
        <v>82</v>
      </c>
      <c r="P3496" t="str">
        <f>"4170066677                    "</f>
        <v xml:space="preserve">4170066677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22.36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70.959999999999994</v>
      </c>
      <c r="BM3496">
        <v>10.64</v>
      </c>
      <c r="BN3496">
        <v>81.599999999999994</v>
      </c>
      <c r="BO3496">
        <v>81.599999999999994</v>
      </c>
      <c r="BQ3496" t="s">
        <v>3627</v>
      </c>
      <c r="BR3496" t="s">
        <v>97</v>
      </c>
      <c r="BS3496" s="3">
        <v>45960</v>
      </c>
      <c r="BT3496" s="4">
        <v>0.35902777777777778</v>
      </c>
      <c r="BU3496" t="s">
        <v>1172</v>
      </c>
      <c r="BV3496" t="s">
        <v>86</v>
      </c>
      <c r="BY3496">
        <v>1200</v>
      </c>
      <c r="CA3496" t="s">
        <v>1173</v>
      </c>
      <c r="CC3496" t="s">
        <v>207</v>
      </c>
      <c r="CD3496">
        <v>7764</v>
      </c>
      <c r="CE3496" t="s">
        <v>1955</v>
      </c>
      <c r="CI3496">
        <v>1</v>
      </c>
      <c r="CJ3496">
        <v>1</v>
      </c>
      <c r="CK3496">
        <v>21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"080068824100"</f>
        <v>080068824100</v>
      </c>
      <c r="F3497" s="3">
        <v>45959</v>
      </c>
      <c r="G3497">
        <v>202607</v>
      </c>
      <c r="H3497" t="s">
        <v>79</v>
      </c>
      <c r="I3497" t="s">
        <v>80</v>
      </c>
      <c r="J3497" t="s">
        <v>91</v>
      </c>
      <c r="K3497" t="s">
        <v>78</v>
      </c>
      <c r="L3497" t="s">
        <v>168</v>
      </c>
      <c r="M3497" t="s">
        <v>169</v>
      </c>
      <c r="N3497" t="s">
        <v>3628</v>
      </c>
      <c r="O3497" t="s">
        <v>82</v>
      </c>
      <c r="P3497" t="str">
        <f>"4170066565                    "</f>
        <v xml:space="preserve">4170066565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78.2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7</v>
      </c>
      <c r="BJ3497">
        <v>4.0999999999999996</v>
      </c>
      <c r="BK3497">
        <v>7</v>
      </c>
      <c r="BL3497">
        <v>248.2</v>
      </c>
      <c r="BM3497">
        <v>37.229999999999997</v>
      </c>
      <c r="BN3497">
        <v>285.43</v>
      </c>
      <c r="BO3497">
        <v>285.43</v>
      </c>
      <c r="BQ3497" t="s">
        <v>3629</v>
      </c>
      <c r="BR3497" t="s">
        <v>97</v>
      </c>
      <c r="BS3497" t="s">
        <v>2659</v>
      </c>
      <c r="BY3497">
        <v>20358</v>
      </c>
      <c r="CC3497" t="s">
        <v>169</v>
      </c>
      <c r="CD3497" s="5" t="s">
        <v>1061</v>
      </c>
      <c r="CE3497" t="s">
        <v>191</v>
      </c>
      <c r="CI3497">
        <v>1</v>
      </c>
      <c r="CJ3497" t="s">
        <v>2659</v>
      </c>
      <c r="CK3497">
        <v>21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"080068824119"</f>
        <v>080068824119</v>
      </c>
      <c r="F3498" s="3">
        <v>45959</v>
      </c>
      <c r="G3498">
        <v>202607</v>
      </c>
      <c r="H3498" t="s">
        <v>79</v>
      </c>
      <c r="I3498" t="s">
        <v>80</v>
      </c>
      <c r="J3498" t="s">
        <v>91</v>
      </c>
      <c r="K3498" t="s">
        <v>78</v>
      </c>
      <c r="L3498" t="s">
        <v>206</v>
      </c>
      <c r="M3498" t="s">
        <v>207</v>
      </c>
      <c r="N3498" t="s">
        <v>1478</v>
      </c>
      <c r="O3498" t="s">
        <v>82</v>
      </c>
      <c r="P3498" t="str">
        <f>"4170066671                    "</f>
        <v xml:space="preserve">4170066671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33.520000000000003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16.739999999999998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3</v>
      </c>
      <c r="BJ3498">
        <v>1.1000000000000001</v>
      </c>
      <c r="BK3498">
        <v>3</v>
      </c>
      <c r="BL3498">
        <v>123.14</v>
      </c>
      <c r="BM3498">
        <v>18.47</v>
      </c>
      <c r="BN3498">
        <v>141.61000000000001</v>
      </c>
      <c r="BO3498">
        <v>141.61000000000001</v>
      </c>
      <c r="BQ3498" t="s">
        <v>1479</v>
      </c>
      <c r="BR3498" t="s">
        <v>97</v>
      </c>
      <c r="BS3498" t="s">
        <v>2659</v>
      </c>
      <c r="BY3498">
        <v>5510</v>
      </c>
      <c r="BZ3498" t="s">
        <v>30</v>
      </c>
      <c r="CC3498" t="s">
        <v>207</v>
      </c>
      <c r="CD3498">
        <v>7781</v>
      </c>
      <c r="CE3498" t="s">
        <v>191</v>
      </c>
      <c r="CI3498">
        <v>1</v>
      </c>
      <c r="CJ3498" t="s">
        <v>2659</v>
      </c>
      <c r="CK3498">
        <v>21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"080068824132"</f>
        <v>080068824132</v>
      </c>
      <c r="F3499" s="3">
        <v>45959</v>
      </c>
      <c r="G3499">
        <v>202607</v>
      </c>
      <c r="H3499" t="s">
        <v>79</v>
      </c>
      <c r="I3499" t="s">
        <v>80</v>
      </c>
      <c r="J3499" t="s">
        <v>91</v>
      </c>
      <c r="K3499" t="s">
        <v>78</v>
      </c>
      <c r="L3499" t="s">
        <v>92</v>
      </c>
      <c r="M3499" t="s">
        <v>93</v>
      </c>
      <c r="N3499" t="s">
        <v>552</v>
      </c>
      <c r="O3499" t="s">
        <v>82</v>
      </c>
      <c r="P3499" t="str">
        <f>"4170066576                    "</f>
        <v xml:space="preserve">4170066576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50.28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4.3</v>
      </c>
      <c r="BJ3499">
        <v>1.5</v>
      </c>
      <c r="BK3499">
        <v>4.5</v>
      </c>
      <c r="BL3499">
        <v>159.58000000000001</v>
      </c>
      <c r="BM3499">
        <v>23.94</v>
      </c>
      <c r="BN3499">
        <v>183.52</v>
      </c>
      <c r="BO3499">
        <v>183.52</v>
      </c>
      <c r="BQ3499" t="s">
        <v>553</v>
      </c>
      <c r="BR3499" t="s">
        <v>97</v>
      </c>
      <c r="BS3499" s="3">
        <v>45960</v>
      </c>
      <c r="BT3499" s="4">
        <v>0.42291666666666666</v>
      </c>
      <c r="BU3499" t="s">
        <v>1140</v>
      </c>
      <c r="BV3499" t="s">
        <v>86</v>
      </c>
      <c r="BY3499">
        <v>7588.8</v>
      </c>
      <c r="CA3499" t="s">
        <v>1141</v>
      </c>
      <c r="CC3499" t="s">
        <v>93</v>
      </c>
      <c r="CD3499">
        <v>3201</v>
      </c>
      <c r="CE3499" t="s">
        <v>191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"080068824157"</f>
        <v>080068824157</v>
      </c>
      <c r="F3500" s="3">
        <v>45959</v>
      </c>
      <c r="G3500">
        <v>202607</v>
      </c>
      <c r="H3500" t="s">
        <v>79</v>
      </c>
      <c r="I3500" t="s">
        <v>80</v>
      </c>
      <c r="J3500" t="s">
        <v>91</v>
      </c>
      <c r="K3500" t="s">
        <v>78</v>
      </c>
      <c r="L3500" t="s">
        <v>223</v>
      </c>
      <c r="M3500" t="s">
        <v>224</v>
      </c>
      <c r="N3500" t="s">
        <v>1019</v>
      </c>
      <c r="O3500" t="s">
        <v>82</v>
      </c>
      <c r="P3500" t="str">
        <f>"4170066643                    "</f>
        <v xml:space="preserve">4170066643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17.46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1.9</v>
      </c>
      <c r="BK3500">
        <v>2</v>
      </c>
      <c r="BL3500">
        <v>55.42</v>
      </c>
      <c r="BM3500">
        <v>8.31</v>
      </c>
      <c r="BN3500">
        <v>63.73</v>
      </c>
      <c r="BO3500">
        <v>63.73</v>
      </c>
      <c r="BQ3500" t="s">
        <v>1020</v>
      </c>
      <c r="BR3500" t="s">
        <v>97</v>
      </c>
      <c r="BS3500" s="3">
        <v>45960</v>
      </c>
      <c r="BT3500" s="4">
        <v>0.33194444444444443</v>
      </c>
      <c r="BU3500" t="s">
        <v>2118</v>
      </c>
      <c r="BV3500" t="s">
        <v>86</v>
      </c>
      <c r="BY3500">
        <v>9576</v>
      </c>
      <c r="CA3500" t="s">
        <v>508</v>
      </c>
      <c r="CC3500" t="s">
        <v>224</v>
      </c>
      <c r="CD3500">
        <v>1460</v>
      </c>
      <c r="CE3500" t="s">
        <v>191</v>
      </c>
      <c r="CI3500">
        <v>1</v>
      </c>
      <c r="CJ3500">
        <v>1</v>
      </c>
      <c r="CK3500">
        <v>22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"080068824188"</f>
        <v>080068824188</v>
      </c>
      <c r="F3501" s="3">
        <v>45959</v>
      </c>
      <c r="G3501">
        <v>202607</v>
      </c>
      <c r="H3501" t="s">
        <v>79</v>
      </c>
      <c r="I3501" t="s">
        <v>80</v>
      </c>
      <c r="J3501" t="s">
        <v>91</v>
      </c>
      <c r="K3501" t="s">
        <v>78</v>
      </c>
      <c r="L3501" t="s">
        <v>884</v>
      </c>
      <c r="M3501" t="s">
        <v>885</v>
      </c>
      <c r="N3501" t="s">
        <v>886</v>
      </c>
      <c r="O3501" t="s">
        <v>82</v>
      </c>
      <c r="P3501" t="str">
        <f>"4170066571                    "</f>
        <v xml:space="preserve">4170066571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43.31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1.5</v>
      </c>
      <c r="BJ3501">
        <v>0.9</v>
      </c>
      <c r="BK3501">
        <v>1.5</v>
      </c>
      <c r="BL3501">
        <v>137.47</v>
      </c>
      <c r="BM3501">
        <v>20.62</v>
      </c>
      <c r="BN3501">
        <v>158.09</v>
      </c>
      <c r="BO3501">
        <v>158.09</v>
      </c>
      <c r="BQ3501" t="s">
        <v>887</v>
      </c>
      <c r="BR3501" t="s">
        <v>97</v>
      </c>
      <c r="BS3501" t="s">
        <v>2659</v>
      </c>
      <c r="BY3501">
        <v>4487.42</v>
      </c>
      <c r="CC3501" t="s">
        <v>885</v>
      </c>
      <c r="CD3501">
        <v>2740</v>
      </c>
      <c r="CE3501" t="s">
        <v>191</v>
      </c>
      <c r="CI3501">
        <v>1</v>
      </c>
      <c r="CJ3501" t="s">
        <v>2659</v>
      </c>
      <c r="CK3501">
        <v>23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"080068824219"</f>
        <v>080068824219</v>
      </c>
      <c r="F3502" s="3">
        <v>45959</v>
      </c>
      <c r="G3502">
        <v>202607</v>
      </c>
      <c r="H3502" t="s">
        <v>79</v>
      </c>
      <c r="I3502" t="s">
        <v>80</v>
      </c>
      <c r="J3502" t="s">
        <v>91</v>
      </c>
      <c r="K3502" t="s">
        <v>78</v>
      </c>
      <c r="L3502" t="s">
        <v>168</v>
      </c>
      <c r="M3502" t="s">
        <v>169</v>
      </c>
      <c r="N3502" t="s">
        <v>253</v>
      </c>
      <c r="O3502" t="s">
        <v>95</v>
      </c>
      <c r="P3502" t="str">
        <f>"4170066590                    "</f>
        <v xml:space="preserve">4170066590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52.15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4</v>
      </c>
      <c r="BI3502">
        <v>20</v>
      </c>
      <c r="BJ3502">
        <v>16.8</v>
      </c>
      <c r="BK3502">
        <v>20</v>
      </c>
      <c r="BL3502">
        <v>171.4</v>
      </c>
      <c r="BM3502">
        <v>25.71</v>
      </c>
      <c r="BN3502">
        <v>197.11</v>
      </c>
      <c r="BO3502">
        <v>197.11</v>
      </c>
      <c r="BQ3502" t="s">
        <v>254</v>
      </c>
      <c r="BR3502" t="s">
        <v>97</v>
      </c>
      <c r="BS3502" s="3">
        <v>45960</v>
      </c>
      <c r="BT3502" s="4">
        <v>0.43402777777777779</v>
      </c>
      <c r="BU3502" t="s">
        <v>3630</v>
      </c>
      <c r="BV3502" t="s">
        <v>86</v>
      </c>
      <c r="BY3502">
        <v>84182</v>
      </c>
      <c r="CA3502">
        <v>8303236124087</v>
      </c>
      <c r="CC3502" t="s">
        <v>169</v>
      </c>
      <c r="CD3502" s="5" t="s">
        <v>190</v>
      </c>
      <c r="CE3502" t="s">
        <v>191</v>
      </c>
      <c r="CI3502">
        <v>1</v>
      </c>
      <c r="CJ3502">
        <v>1</v>
      </c>
      <c r="CK3502">
        <v>41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"080068824221"</f>
        <v>080068824221</v>
      </c>
      <c r="F3503" s="3">
        <v>45959</v>
      </c>
      <c r="G3503">
        <v>202607</v>
      </c>
      <c r="H3503" t="s">
        <v>79</v>
      </c>
      <c r="I3503" t="s">
        <v>80</v>
      </c>
      <c r="J3503" t="s">
        <v>91</v>
      </c>
      <c r="K3503" t="s">
        <v>78</v>
      </c>
      <c r="L3503" t="s">
        <v>79</v>
      </c>
      <c r="M3503" t="s">
        <v>80</v>
      </c>
      <c r="N3503" t="s">
        <v>1482</v>
      </c>
      <c r="O3503" t="s">
        <v>82</v>
      </c>
      <c r="P3503" t="str">
        <f>"4170066564                    "</f>
        <v xml:space="preserve">4170066564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17.46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5</v>
      </c>
      <c r="BJ3503">
        <v>1.9</v>
      </c>
      <c r="BK3503">
        <v>5</v>
      </c>
      <c r="BL3503">
        <v>55.42</v>
      </c>
      <c r="BM3503">
        <v>8.31</v>
      </c>
      <c r="BN3503">
        <v>63.73</v>
      </c>
      <c r="BO3503">
        <v>63.73</v>
      </c>
      <c r="BQ3503" t="s">
        <v>1483</v>
      </c>
      <c r="BR3503" t="s">
        <v>97</v>
      </c>
      <c r="BS3503" t="s">
        <v>2659</v>
      </c>
      <c r="BY3503">
        <v>9576</v>
      </c>
      <c r="CC3503" t="s">
        <v>80</v>
      </c>
      <c r="CD3503">
        <v>1609</v>
      </c>
      <c r="CE3503" t="s">
        <v>191</v>
      </c>
      <c r="CI3503">
        <v>1</v>
      </c>
      <c r="CJ3503" t="s">
        <v>2659</v>
      </c>
      <c r="CK3503">
        <v>22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"080068824375"</f>
        <v>080068824375</v>
      </c>
      <c r="F3504" s="3">
        <v>45959</v>
      </c>
      <c r="G3504">
        <v>202607</v>
      </c>
      <c r="H3504" t="s">
        <v>79</v>
      </c>
      <c r="I3504" t="s">
        <v>80</v>
      </c>
      <c r="J3504" t="s">
        <v>91</v>
      </c>
      <c r="K3504" t="s">
        <v>78</v>
      </c>
      <c r="L3504" t="s">
        <v>108</v>
      </c>
      <c r="M3504" t="s">
        <v>109</v>
      </c>
      <c r="N3504" t="s">
        <v>3631</v>
      </c>
      <c r="O3504" t="s">
        <v>82</v>
      </c>
      <c r="P3504" t="str">
        <f>"4170066674                    "</f>
        <v xml:space="preserve">4170066674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22.36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70.959999999999994</v>
      </c>
      <c r="BM3504">
        <v>10.64</v>
      </c>
      <c r="BN3504">
        <v>81.599999999999994</v>
      </c>
      <c r="BO3504">
        <v>81.599999999999994</v>
      </c>
      <c r="BQ3504" t="s">
        <v>3632</v>
      </c>
      <c r="BR3504" t="s">
        <v>97</v>
      </c>
      <c r="BS3504" s="3">
        <v>45960</v>
      </c>
      <c r="BT3504" s="4">
        <v>0.31180555555555556</v>
      </c>
      <c r="BU3504" t="s">
        <v>3633</v>
      </c>
      <c r="BV3504" t="s">
        <v>86</v>
      </c>
      <c r="BY3504">
        <v>1200</v>
      </c>
      <c r="CA3504" t="s">
        <v>113</v>
      </c>
      <c r="CC3504" t="s">
        <v>109</v>
      </c>
      <c r="CD3504">
        <v>6045</v>
      </c>
      <c r="CE3504" t="s">
        <v>147</v>
      </c>
      <c r="CI3504">
        <v>1</v>
      </c>
      <c r="CJ3504">
        <v>1</v>
      </c>
      <c r="CK3504">
        <v>21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"080068824758"</f>
        <v>080068824758</v>
      </c>
      <c r="F3505" s="3">
        <v>45959</v>
      </c>
      <c r="G3505">
        <v>202607</v>
      </c>
      <c r="H3505" t="s">
        <v>79</v>
      </c>
      <c r="I3505" t="s">
        <v>80</v>
      </c>
      <c r="J3505" t="s">
        <v>91</v>
      </c>
      <c r="K3505" t="s">
        <v>78</v>
      </c>
      <c r="L3505" t="s">
        <v>206</v>
      </c>
      <c r="M3505" t="s">
        <v>207</v>
      </c>
      <c r="N3505" t="s">
        <v>361</v>
      </c>
      <c r="O3505" t="s">
        <v>82</v>
      </c>
      <c r="P3505" t="str">
        <f>"4170066672                    "</f>
        <v xml:space="preserve">4170066672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122.88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11</v>
      </c>
      <c r="BJ3505">
        <v>3.3</v>
      </c>
      <c r="BK3505">
        <v>11</v>
      </c>
      <c r="BL3505">
        <v>390</v>
      </c>
      <c r="BM3505">
        <v>58.5</v>
      </c>
      <c r="BN3505">
        <v>448.5</v>
      </c>
      <c r="BO3505">
        <v>448.5</v>
      </c>
      <c r="BQ3505" t="s">
        <v>362</v>
      </c>
      <c r="BR3505" t="s">
        <v>97</v>
      </c>
      <c r="BS3505" s="3">
        <v>45960</v>
      </c>
      <c r="BT3505" s="4">
        <v>0.43125000000000002</v>
      </c>
      <c r="BU3505" t="s">
        <v>3634</v>
      </c>
      <c r="BV3505" t="s">
        <v>86</v>
      </c>
      <c r="BY3505">
        <v>16337</v>
      </c>
      <c r="CA3505" t="s">
        <v>364</v>
      </c>
      <c r="CC3505" t="s">
        <v>207</v>
      </c>
      <c r="CD3505">
        <v>7535</v>
      </c>
      <c r="CE3505" t="s">
        <v>191</v>
      </c>
      <c r="CI3505">
        <v>1</v>
      </c>
      <c r="CJ3505">
        <v>1</v>
      </c>
      <c r="CK3505">
        <v>21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"080068824793"</f>
        <v>080068824793</v>
      </c>
      <c r="F3506" s="3">
        <v>45959</v>
      </c>
      <c r="G3506">
        <v>202607</v>
      </c>
      <c r="H3506" t="s">
        <v>79</v>
      </c>
      <c r="I3506" t="s">
        <v>80</v>
      </c>
      <c r="J3506" t="s">
        <v>91</v>
      </c>
      <c r="K3506" t="s">
        <v>78</v>
      </c>
      <c r="L3506" t="s">
        <v>530</v>
      </c>
      <c r="M3506" t="s">
        <v>531</v>
      </c>
      <c r="N3506" t="s">
        <v>754</v>
      </c>
      <c r="O3506" t="s">
        <v>82</v>
      </c>
      <c r="P3506" t="str">
        <f>"4170066538                    "</f>
        <v xml:space="preserve">4170066538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82.43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3</v>
      </c>
      <c r="BJ3506">
        <v>3.6</v>
      </c>
      <c r="BK3506">
        <v>4</v>
      </c>
      <c r="BL3506">
        <v>261.63</v>
      </c>
      <c r="BM3506">
        <v>39.24</v>
      </c>
      <c r="BN3506">
        <v>300.87</v>
      </c>
      <c r="BO3506">
        <v>300.87</v>
      </c>
      <c r="BQ3506" t="s">
        <v>755</v>
      </c>
      <c r="BR3506" t="s">
        <v>97</v>
      </c>
      <c r="BS3506" t="s">
        <v>2659</v>
      </c>
      <c r="BY3506">
        <v>18096</v>
      </c>
      <c r="CC3506" t="s">
        <v>531</v>
      </c>
      <c r="CD3506">
        <v>6850</v>
      </c>
      <c r="CE3506" t="s">
        <v>191</v>
      </c>
      <c r="CI3506">
        <v>2</v>
      </c>
      <c r="CJ3506" t="s">
        <v>2659</v>
      </c>
      <c r="CK3506">
        <v>23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"080068824830"</f>
        <v>080068824830</v>
      </c>
      <c r="F3507" s="3">
        <v>45959</v>
      </c>
      <c r="G3507">
        <v>202607</v>
      </c>
      <c r="H3507" t="s">
        <v>79</v>
      </c>
      <c r="I3507" t="s">
        <v>80</v>
      </c>
      <c r="J3507" t="s">
        <v>91</v>
      </c>
      <c r="K3507" t="s">
        <v>78</v>
      </c>
      <c r="L3507" t="s">
        <v>79</v>
      </c>
      <c r="M3507" t="s">
        <v>80</v>
      </c>
      <c r="N3507" t="s">
        <v>1040</v>
      </c>
      <c r="O3507" t="s">
        <v>226</v>
      </c>
      <c r="P3507" t="str">
        <f>"4170066660                    "</f>
        <v xml:space="preserve">4170066660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17.47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3</v>
      </c>
      <c r="BJ3507">
        <v>2.4</v>
      </c>
      <c r="BK3507">
        <v>3</v>
      </c>
      <c r="BL3507">
        <v>55.44</v>
      </c>
      <c r="BM3507">
        <v>8.32</v>
      </c>
      <c r="BN3507">
        <v>63.76</v>
      </c>
      <c r="BO3507">
        <v>63.76</v>
      </c>
      <c r="BQ3507" t="s">
        <v>1041</v>
      </c>
      <c r="BR3507" t="s">
        <v>97</v>
      </c>
      <c r="BS3507" s="3">
        <v>45960</v>
      </c>
      <c r="BT3507" s="4">
        <v>0.29722222222222222</v>
      </c>
      <c r="BU3507" t="s">
        <v>1662</v>
      </c>
      <c r="BV3507" t="s">
        <v>86</v>
      </c>
      <c r="BY3507">
        <v>11970</v>
      </c>
      <c r="CA3507" t="s">
        <v>166</v>
      </c>
      <c r="CC3507" t="s">
        <v>80</v>
      </c>
      <c r="CD3507">
        <v>1600</v>
      </c>
      <c r="CE3507" t="s">
        <v>107</v>
      </c>
      <c r="CI3507">
        <v>1</v>
      </c>
      <c r="CJ3507">
        <v>1</v>
      </c>
      <c r="CK3507">
        <v>32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"080068824863"</f>
        <v>080068824863</v>
      </c>
      <c r="F3508" s="3">
        <v>45959</v>
      </c>
      <c r="G3508">
        <v>202607</v>
      </c>
      <c r="H3508" t="s">
        <v>79</v>
      </c>
      <c r="I3508" t="s">
        <v>80</v>
      </c>
      <c r="J3508" t="s">
        <v>91</v>
      </c>
      <c r="K3508" t="s">
        <v>78</v>
      </c>
      <c r="L3508" t="s">
        <v>1095</v>
      </c>
      <c r="M3508" t="s">
        <v>1096</v>
      </c>
      <c r="N3508" t="s">
        <v>1197</v>
      </c>
      <c r="O3508" t="s">
        <v>82</v>
      </c>
      <c r="P3508" t="str">
        <f>"4170066656                    "</f>
        <v xml:space="preserve">4170066656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43.31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137.47</v>
      </c>
      <c r="BM3508">
        <v>20.62</v>
      </c>
      <c r="BN3508">
        <v>158.09</v>
      </c>
      <c r="BO3508">
        <v>158.09</v>
      </c>
      <c r="BQ3508" t="s">
        <v>1198</v>
      </c>
      <c r="BR3508" t="s">
        <v>97</v>
      </c>
      <c r="BS3508" s="3">
        <v>45960</v>
      </c>
      <c r="BT3508" s="4">
        <v>0.49513888888888891</v>
      </c>
      <c r="BU3508" t="s">
        <v>3417</v>
      </c>
      <c r="BV3508" t="s">
        <v>86</v>
      </c>
      <c r="BY3508">
        <v>1200</v>
      </c>
      <c r="CA3508" t="s">
        <v>3076</v>
      </c>
      <c r="CC3508" t="s">
        <v>1096</v>
      </c>
      <c r="CD3508">
        <v>2302</v>
      </c>
      <c r="CE3508" t="s">
        <v>147</v>
      </c>
      <c r="CI3508">
        <v>1</v>
      </c>
      <c r="CJ3508">
        <v>1</v>
      </c>
      <c r="CK3508">
        <v>23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"080068824877"</f>
        <v>080068824877</v>
      </c>
      <c r="F3509" s="3">
        <v>45959</v>
      </c>
      <c r="G3509">
        <v>202607</v>
      </c>
      <c r="H3509" t="s">
        <v>79</v>
      </c>
      <c r="I3509" t="s">
        <v>80</v>
      </c>
      <c r="J3509" t="s">
        <v>91</v>
      </c>
      <c r="K3509" t="s">
        <v>78</v>
      </c>
      <c r="L3509" t="s">
        <v>121</v>
      </c>
      <c r="M3509" t="s">
        <v>122</v>
      </c>
      <c r="N3509" t="s">
        <v>154</v>
      </c>
      <c r="O3509" t="s">
        <v>82</v>
      </c>
      <c r="P3509" t="str">
        <f>"4170066555                    "</f>
        <v xml:space="preserve">4170066555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22.36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1.8</v>
      </c>
      <c r="BK3509">
        <v>2</v>
      </c>
      <c r="BL3509">
        <v>70.959999999999994</v>
      </c>
      <c r="BM3509">
        <v>10.64</v>
      </c>
      <c r="BN3509">
        <v>81.599999999999994</v>
      </c>
      <c r="BO3509">
        <v>81.599999999999994</v>
      </c>
      <c r="BQ3509" t="s">
        <v>155</v>
      </c>
      <c r="BR3509" t="s">
        <v>97</v>
      </c>
      <c r="BS3509" s="3">
        <v>45960</v>
      </c>
      <c r="BT3509" s="4">
        <v>0.36319444444444443</v>
      </c>
      <c r="BU3509" t="s">
        <v>156</v>
      </c>
      <c r="BV3509" t="s">
        <v>86</v>
      </c>
      <c r="BY3509">
        <v>8816</v>
      </c>
      <c r="CA3509" t="s">
        <v>157</v>
      </c>
      <c r="CC3509" t="s">
        <v>122</v>
      </c>
      <c r="CD3509">
        <v>4052</v>
      </c>
      <c r="CE3509" t="s">
        <v>191</v>
      </c>
      <c r="CI3509">
        <v>1</v>
      </c>
      <c r="CJ3509">
        <v>1</v>
      </c>
      <c r="CK3509">
        <v>21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"080068824914"</f>
        <v>080068824914</v>
      </c>
      <c r="F3510" s="3">
        <v>45959</v>
      </c>
      <c r="G3510">
        <v>202607</v>
      </c>
      <c r="H3510" t="s">
        <v>79</v>
      </c>
      <c r="I3510" t="s">
        <v>80</v>
      </c>
      <c r="J3510" t="s">
        <v>91</v>
      </c>
      <c r="K3510" t="s">
        <v>78</v>
      </c>
      <c r="L3510" t="s">
        <v>168</v>
      </c>
      <c r="M3510" t="s">
        <v>169</v>
      </c>
      <c r="N3510" t="s">
        <v>737</v>
      </c>
      <c r="O3510" t="s">
        <v>95</v>
      </c>
      <c r="P3510" t="str">
        <f>"4170066668                    "</f>
        <v xml:space="preserve">4170066668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43.23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4</v>
      </c>
      <c r="BJ3510">
        <v>1.8</v>
      </c>
      <c r="BK3510">
        <v>4</v>
      </c>
      <c r="BL3510">
        <v>143.08000000000001</v>
      </c>
      <c r="BM3510">
        <v>21.46</v>
      </c>
      <c r="BN3510">
        <v>164.54</v>
      </c>
      <c r="BO3510">
        <v>164.54</v>
      </c>
      <c r="BQ3510" t="s">
        <v>738</v>
      </c>
      <c r="BR3510" t="s">
        <v>97</v>
      </c>
      <c r="BS3510" s="3">
        <v>45960</v>
      </c>
      <c r="BT3510" s="4">
        <v>0.40833333333333333</v>
      </c>
      <c r="BU3510" t="s">
        <v>1153</v>
      </c>
      <c r="BV3510" t="s">
        <v>86</v>
      </c>
      <c r="BY3510">
        <v>8816</v>
      </c>
      <c r="CA3510">
        <v>9103185460089</v>
      </c>
      <c r="CC3510" t="s">
        <v>169</v>
      </c>
      <c r="CD3510" s="5" t="s">
        <v>173</v>
      </c>
      <c r="CE3510" t="s">
        <v>191</v>
      </c>
      <c r="CI3510">
        <v>1</v>
      </c>
      <c r="CJ3510">
        <v>1</v>
      </c>
      <c r="CK3510">
        <v>41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"080068825147"</f>
        <v>080068825147</v>
      </c>
      <c r="F3511" s="3">
        <v>45959</v>
      </c>
      <c r="G3511">
        <v>202607</v>
      </c>
      <c r="H3511" t="s">
        <v>79</v>
      </c>
      <c r="I3511" t="s">
        <v>80</v>
      </c>
      <c r="J3511" t="s">
        <v>91</v>
      </c>
      <c r="K3511" t="s">
        <v>78</v>
      </c>
      <c r="L3511" t="s">
        <v>79</v>
      </c>
      <c r="M3511" t="s">
        <v>80</v>
      </c>
      <c r="N3511" t="s">
        <v>1040</v>
      </c>
      <c r="O3511" t="s">
        <v>82</v>
      </c>
      <c r="P3511" t="str">
        <f>"4170066661                    "</f>
        <v xml:space="preserve">4170066661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17.46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1.5</v>
      </c>
      <c r="BK3511">
        <v>2</v>
      </c>
      <c r="BL3511">
        <v>55.42</v>
      </c>
      <c r="BM3511">
        <v>8.31</v>
      </c>
      <c r="BN3511">
        <v>63.73</v>
      </c>
      <c r="BO3511">
        <v>63.73</v>
      </c>
      <c r="BQ3511" t="s">
        <v>1041</v>
      </c>
      <c r="BR3511" t="s">
        <v>97</v>
      </c>
      <c r="BS3511" s="3">
        <v>45960</v>
      </c>
      <c r="BT3511" s="4">
        <v>0.29722222222222222</v>
      </c>
      <c r="BU3511" t="s">
        <v>1662</v>
      </c>
      <c r="BV3511" t="s">
        <v>86</v>
      </c>
      <c r="BY3511">
        <v>7680</v>
      </c>
      <c r="CA3511" t="s">
        <v>166</v>
      </c>
      <c r="CC3511" t="s">
        <v>80</v>
      </c>
      <c r="CD3511">
        <v>1600</v>
      </c>
      <c r="CE3511" t="s">
        <v>107</v>
      </c>
      <c r="CI3511">
        <v>1</v>
      </c>
      <c r="CJ3511">
        <v>1</v>
      </c>
      <c r="CK3511">
        <v>22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"080068825233"</f>
        <v>080068825233</v>
      </c>
      <c r="F3512" s="3">
        <v>45959</v>
      </c>
      <c r="G3512">
        <v>202607</v>
      </c>
      <c r="H3512" t="s">
        <v>79</v>
      </c>
      <c r="I3512" t="s">
        <v>80</v>
      </c>
      <c r="J3512" t="s">
        <v>91</v>
      </c>
      <c r="K3512" t="s">
        <v>78</v>
      </c>
      <c r="L3512" t="s">
        <v>168</v>
      </c>
      <c r="M3512" t="s">
        <v>169</v>
      </c>
      <c r="N3512" t="s">
        <v>923</v>
      </c>
      <c r="O3512" t="s">
        <v>95</v>
      </c>
      <c r="P3512" t="str">
        <f>"4170066546                    "</f>
        <v xml:space="preserve">4170066546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43.23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6</v>
      </c>
      <c r="BJ3512">
        <v>1.9</v>
      </c>
      <c r="BK3512">
        <v>6</v>
      </c>
      <c r="BL3512">
        <v>143.08000000000001</v>
      </c>
      <c r="BM3512">
        <v>21.46</v>
      </c>
      <c r="BN3512">
        <v>164.54</v>
      </c>
      <c r="BO3512">
        <v>164.54</v>
      </c>
      <c r="BQ3512" t="s">
        <v>924</v>
      </c>
      <c r="BR3512" t="s">
        <v>97</v>
      </c>
      <c r="BS3512" s="3">
        <v>45960</v>
      </c>
      <c r="BT3512" s="4">
        <v>0.33888888888888891</v>
      </c>
      <c r="BU3512" t="s">
        <v>1121</v>
      </c>
      <c r="BV3512" t="s">
        <v>86</v>
      </c>
      <c r="BY3512">
        <v>9720</v>
      </c>
      <c r="CA3512">
        <v>9107126013089</v>
      </c>
      <c r="CC3512" t="s">
        <v>169</v>
      </c>
      <c r="CD3512" s="5" t="s">
        <v>926</v>
      </c>
      <c r="CE3512" t="s">
        <v>107</v>
      </c>
      <c r="CI3512">
        <v>1</v>
      </c>
      <c r="CJ3512">
        <v>1</v>
      </c>
      <c r="CK3512">
        <v>41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"080068825862"</f>
        <v>080068825862</v>
      </c>
      <c r="F3513" s="3">
        <v>45959</v>
      </c>
      <c r="G3513">
        <v>202607</v>
      </c>
      <c r="H3513" t="s">
        <v>79</v>
      </c>
      <c r="I3513" t="s">
        <v>80</v>
      </c>
      <c r="J3513" t="s">
        <v>91</v>
      </c>
      <c r="K3513" t="s">
        <v>78</v>
      </c>
      <c r="L3513" t="s">
        <v>530</v>
      </c>
      <c r="M3513" t="s">
        <v>531</v>
      </c>
      <c r="N3513" t="s">
        <v>754</v>
      </c>
      <c r="O3513" t="s">
        <v>95</v>
      </c>
      <c r="P3513" t="str">
        <f>"4170066542                    "</f>
        <v xml:space="preserve">4170066542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89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2</v>
      </c>
      <c r="BI3513">
        <v>23.3</v>
      </c>
      <c r="BJ3513">
        <v>17.3</v>
      </c>
      <c r="BK3513">
        <v>24</v>
      </c>
      <c r="BL3513">
        <v>288.35000000000002</v>
      </c>
      <c r="BM3513">
        <v>43.25</v>
      </c>
      <c r="BN3513">
        <v>331.6</v>
      </c>
      <c r="BO3513">
        <v>331.6</v>
      </c>
      <c r="BQ3513" t="s">
        <v>755</v>
      </c>
      <c r="BR3513" t="s">
        <v>97</v>
      </c>
      <c r="BS3513" t="s">
        <v>2659</v>
      </c>
      <c r="BY3513">
        <v>86388.62</v>
      </c>
      <c r="CC3513" t="s">
        <v>531</v>
      </c>
      <c r="CD3513">
        <v>6850</v>
      </c>
      <c r="CE3513" t="s">
        <v>191</v>
      </c>
      <c r="CI3513">
        <v>4</v>
      </c>
      <c r="CJ3513" t="s">
        <v>2659</v>
      </c>
      <c r="CK3513">
        <v>43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"080068827221"</f>
        <v>080068827221</v>
      </c>
      <c r="F3514" s="3">
        <v>45959</v>
      </c>
      <c r="G3514">
        <v>202607</v>
      </c>
      <c r="H3514" t="s">
        <v>79</v>
      </c>
      <c r="I3514" t="s">
        <v>80</v>
      </c>
      <c r="J3514" t="s">
        <v>91</v>
      </c>
      <c r="K3514" t="s">
        <v>78</v>
      </c>
      <c r="L3514" t="s">
        <v>121</v>
      </c>
      <c r="M3514" t="s">
        <v>122</v>
      </c>
      <c r="N3514" t="s">
        <v>318</v>
      </c>
      <c r="O3514" t="s">
        <v>82</v>
      </c>
      <c r="P3514" t="str">
        <f>"4170066670                    "</f>
        <v xml:space="preserve">4170066670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78.2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7</v>
      </c>
      <c r="BJ3514">
        <v>4.2</v>
      </c>
      <c r="BK3514">
        <v>7</v>
      </c>
      <c r="BL3514">
        <v>248.2</v>
      </c>
      <c r="BM3514">
        <v>37.229999999999997</v>
      </c>
      <c r="BN3514">
        <v>285.43</v>
      </c>
      <c r="BO3514">
        <v>285.43</v>
      </c>
      <c r="BQ3514" t="s">
        <v>319</v>
      </c>
      <c r="BR3514" t="s">
        <v>97</v>
      </c>
      <c r="BS3514" s="3">
        <v>45960</v>
      </c>
      <c r="BT3514" s="4">
        <v>0.38819444444444445</v>
      </c>
      <c r="BU3514" t="s">
        <v>1695</v>
      </c>
      <c r="BV3514" t="s">
        <v>86</v>
      </c>
      <c r="BY3514">
        <v>21142</v>
      </c>
      <c r="CA3514" t="s">
        <v>321</v>
      </c>
      <c r="CC3514" t="s">
        <v>122</v>
      </c>
      <c r="CD3514">
        <v>4001</v>
      </c>
      <c r="CE3514" t="s">
        <v>191</v>
      </c>
      <c r="CI3514">
        <v>1</v>
      </c>
      <c r="CJ3514">
        <v>1</v>
      </c>
      <c r="CK3514">
        <v>21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"080068827253"</f>
        <v>080068827253</v>
      </c>
      <c r="F3515" s="3">
        <v>45959</v>
      </c>
      <c r="G3515">
        <v>202607</v>
      </c>
      <c r="H3515" t="s">
        <v>79</v>
      </c>
      <c r="I3515" t="s">
        <v>80</v>
      </c>
      <c r="J3515" t="s">
        <v>91</v>
      </c>
      <c r="K3515" t="s">
        <v>78</v>
      </c>
      <c r="L3515" t="s">
        <v>108</v>
      </c>
      <c r="M3515" t="s">
        <v>109</v>
      </c>
      <c r="N3515" t="s">
        <v>315</v>
      </c>
      <c r="O3515" t="s">
        <v>82</v>
      </c>
      <c r="P3515" t="str">
        <f>"4170066673                    "</f>
        <v xml:space="preserve">4170066673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78.2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7</v>
      </c>
      <c r="BJ3515">
        <v>4.2</v>
      </c>
      <c r="BK3515">
        <v>7</v>
      </c>
      <c r="BL3515">
        <v>248.2</v>
      </c>
      <c r="BM3515">
        <v>37.229999999999997</v>
      </c>
      <c r="BN3515">
        <v>285.43</v>
      </c>
      <c r="BO3515">
        <v>285.43</v>
      </c>
      <c r="BQ3515" t="s">
        <v>316</v>
      </c>
      <c r="BR3515" t="s">
        <v>97</v>
      </c>
      <c r="BS3515" s="3">
        <v>45960</v>
      </c>
      <c r="BT3515" s="4">
        <v>0.34722222222222221</v>
      </c>
      <c r="BU3515" t="s">
        <v>3635</v>
      </c>
      <c r="BV3515" t="s">
        <v>86</v>
      </c>
      <c r="BY3515">
        <v>21142</v>
      </c>
      <c r="CA3515" t="s">
        <v>113</v>
      </c>
      <c r="CC3515" t="s">
        <v>109</v>
      </c>
      <c r="CD3515">
        <v>6045</v>
      </c>
      <c r="CE3515" t="s">
        <v>191</v>
      </c>
      <c r="CI3515">
        <v>1</v>
      </c>
      <c r="CJ3515">
        <v>1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"080068827279"</f>
        <v>080068827279</v>
      </c>
      <c r="F3516" s="3">
        <v>45959</v>
      </c>
      <c r="G3516">
        <v>202607</v>
      </c>
      <c r="H3516" t="s">
        <v>79</v>
      </c>
      <c r="I3516" t="s">
        <v>80</v>
      </c>
      <c r="J3516" t="s">
        <v>91</v>
      </c>
      <c r="K3516" t="s">
        <v>78</v>
      </c>
      <c r="L3516" t="s">
        <v>148</v>
      </c>
      <c r="M3516" t="s">
        <v>149</v>
      </c>
      <c r="N3516" t="s">
        <v>685</v>
      </c>
      <c r="O3516" t="s">
        <v>82</v>
      </c>
      <c r="P3516" t="str">
        <f>"4170066684                    "</f>
        <v xml:space="preserve">4170066684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17.46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1.8</v>
      </c>
      <c r="BK3516">
        <v>2</v>
      </c>
      <c r="BL3516">
        <v>55.42</v>
      </c>
      <c r="BM3516">
        <v>8.31</v>
      </c>
      <c r="BN3516">
        <v>63.73</v>
      </c>
      <c r="BO3516">
        <v>63.73</v>
      </c>
      <c r="BQ3516" t="s">
        <v>686</v>
      </c>
      <c r="BR3516" t="s">
        <v>97</v>
      </c>
      <c r="BS3516" s="3">
        <v>45960</v>
      </c>
      <c r="BT3516" s="4">
        <v>0.39861111111111114</v>
      </c>
      <c r="BU3516" t="s">
        <v>902</v>
      </c>
      <c r="BV3516" t="s">
        <v>86</v>
      </c>
      <c r="BY3516">
        <v>8816</v>
      </c>
      <c r="CA3516" t="s">
        <v>904</v>
      </c>
      <c r="CC3516" t="s">
        <v>149</v>
      </c>
      <c r="CD3516">
        <v>2169</v>
      </c>
      <c r="CE3516" t="s">
        <v>191</v>
      </c>
      <c r="CI3516">
        <v>1</v>
      </c>
      <c r="CJ3516">
        <v>1</v>
      </c>
      <c r="CK3516">
        <v>22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"080068827308"</f>
        <v>080068827308</v>
      </c>
      <c r="F3517" s="3">
        <v>45959</v>
      </c>
      <c r="G3517">
        <v>202607</v>
      </c>
      <c r="H3517" t="s">
        <v>79</v>
      </c>
      <c r="I3517" t="s">
        <v>80</v>
      </c>
      <c r="J3517" t="s">
        <v>91</v>
      </c>
      <c r="K3517" t="s">
        <v>78</v>
      </c>
      <c r="L3517" t="s">
        <v>121</v>
      </c>
      <c r="M3517" t="s">
        <v>122</v>
      </c>
      <c r="N3517" t="s">
        <v>123</v>
      </c>
      <c r="O3517" t="s">
        <v>82</v>
      </c>
      <c r="P3517" t="str">
        <f>"4170066723                    "</f>
        <v xml:space="preserve">4170066723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22.36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0.7</v>
      </c>
      <c r="BK3517">
        <v>1</v>
      </c>
      <c r="BL3517">
        <v>70.959999999999994</v>
      </c>
      <c r="BM3517">
        <v>10.64</v>
      </c>
      <c r="BN3517">
        <v>81.599999999999994</v>
      </c>
      <c r="BO3517">
        <v>81.599999999999994</v>
      </c>
      <c r="BQ3517" t="s">
        <v>124</v>
      </c>
      <c r="BR3517" t="s">
        <v>97</v>
      </c>
      <c r="BS3517" s="3">
        <v>45960</v>
      </c>
      <c r="BT3517" s="4">
        <v>0.33750000000000002</v>
      </c>
      <c r="BU3517" t="s">
        <v>3590</v>
      </c>
      <c r="BV3517" t="s">
        <v>86</v>
      </c>
      <c r="BY3517">
        <v>3306</v>
      </c>
      <c r="CA3517" t="s">
        <v>126</v>
      </c>
      <c r="CC3517" t="s">
        <v>122</v>
      </c>
      <c r="CD3517">
        <v>4051</v>
      </c>
      <c r="CE3517" t="s">
        <v>191</v>
      </c>
      <c r="CI3517">
        <v>1</v>
      </c>
      <c r="CJ3517">
        <v>1</v>
      </c>
      <c r="CK3517">
        <v>21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"080068827420"</f>
        <v>080068827420</v>
      </c>
      <c r="F3518" s="3">
        <v>45959</v>
      </c>
      <c r="G3518">
        <v>202607</v>
      </c>
      <c r="H3518" t="s">
        <v>79</v>
      </c>
      <c r="I3518" t="s">
        <v>80</v>
      </c>
      <c r="J3518" t="s">
        <v>91</v>
      </c>
      <c r="K3518" t="s">
        <v>78</v>
      </c>
      <c r="L3518" t="s">
        <v>79</v>
      </c>
      <c r="M3518" t="s">
        <v>80</v>
      </c>
      <c r="N3518" t="s">
        <v>577</v>
      </c>
      <c r="O3518" t="s">
        <v>95</v>
      </c>
      <c r="P3518" t="str">
        <f>"4170066596                    "</f>
        <v xml:space="preserve">4170066596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99.67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60</v>
      </c>
      <c r="BJ3518">
        <v>82.6</v>
      </c>
      <c r="BK3518">
        <v>83</v>
      </c>
      <c r="BL3518">
        <v>322.22000000000003</v>
      </c>
      <c r="BM3518">
        <v>48.33</v>
      </c>
      <c r="BN3518">
        <v>370.55</v>
      </c>
      <c r="BO3518">
        <v>370.55</v>
      </c>
      <c r="BQ3518" t="s">
        <v>578</v>
      </c>
      <c r="BR3518" t="s">
        <v>97</v>
      </c>
      <c r="BS3518" s="3">
        <v>45960</v>
      </c>
      <c r="BT3518" s="4">
        <v>0.3611111111111111</v>
      </c>
      <c r="BU3518" t="s">
        <v>3572</v>
      </c>
      <c r="BV3518" t="s">
        <v>86</v>
      </c>
      <c r="BY3518">
        <v>412800</v>
      </c>
      <c r="CA3518" t="s">
        <v>1368</v>
      </c>
      <c r="CC3518" t="s">
        <v>80</v>
      </c>
      <c r="CD3518">
        <v>1619</v>
      </c>
      <c r="CE3518" t="s">
        <v>191</v>
      </c>
      <c r="CI3518">
        <v>1</v>
      </c>
      <c r="CJ3518">
        <v>1</v>
      </c>
      <c r="CK3518">
        <v>42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"080068827452"</f>
        <v>080068827452</v>
      </c>
      <c r="F3519" s="3">
        <v>45959</v>
      </c>
      <c r="G3519">
        <v>202607</v>
      </c>
      <c r="H3519" t="s">
        <v>79</v>
      </c>
      <c r="I3519" t="s">
        <v>80</v>
      </c>
      <c r="J3519" t="s">
        <v>91</v>
      </c>
      <c r="K3519" t="s">
        <v>78</v>
      </c>
      <c r="L3519" t="s">
        <v>322</v>
      </c>
      <c r="M3519" t="s">
        <v>322</v>
      </c>
      <c r="N3519" t="s">
        <v>481</v>
      </c>
      <c r="O3519" t="s">
        <v>82</v>
      </c>
      <c r="P3519" t="str">
        <f>"4170066726                    "</f>
        <v xml:space="preserve">4170066726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43.31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137.47</v>
      </c>
      <c r="BM3519">
        <v>20.62</v>
      </c>
      <c r="BN3519">
        <v>158.09</v>
      </c>
      <c r="BO3519">
        <v>158.09</v>
      </c>
      <c r="BQ3519" t="s">
        <v>482</v>
      </c>
      <c r="BR3519" t="s">
        <v>97</v>
      </c>
      <c r="BS3519" t="s">
        <v>2659</v>
      </c>
      <c r="BY3519">
        <v>1200</v>
      </c>
      <c r="CC3519" t="s">
        <v>322</v>
      </c>
      <c r="CD3519">
        <v>7646</v>
      </c>
      <c r="CE3519" t="s">
        <v>147</v>
      </c>
      <c r="CI3519">
        <v>1</v>
      </c>
      <c r="CJ3519" t="s">
        <v>2659</v>
      </c>
      <c r="CK3519">
        <v>23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"080068827545"</f>
        <v>080068827545</v>
      </c>
      <c r="F3520" s="3">
        <v>45959</v>
      </c>
      <c r="G3520">
        <v>202607</v>
      </c>
      <c r="H3520" t="s">
        <v>79</v>
      </c>
      <c r="I3520" t="s">
        <v>80</v>
      </c>
      <c r="J3520" t="s">
        <v>91</v>
      </c>
      <c r="K3520" t="s">
        <v>78</v>
      </c>
      <c r="L3520" t="s">
        <v>148</v>
      </c>
      <c r="M3520" t="s">
        <v>149</v>
      </c>
      <c r="N3520" t="s">
        <v>2050</v>
      </c>
      <c r="O3520" t="s">
        <v>95</v>
      </c>
      <c r="P3520" t="str">
        <f>"4170066697                    "</f>
        <v xml:space="preserve">4170066697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34.33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6</v>
      </c>
      <c r="BJ3520">
        <v>16</v>
      </c>
      <c r="BK3520">
        <v>16</v>
      </c>
      <c r="BL3520">
        <v>114.84</v>
      </c>
      <c r="BM3520">
        <v>17.23</v>
      </c>
      <c r="BN3520">
        <v>132.07</v>
      </c>
      <c r="BO3520">
        <v>132.07</v>
      </c>
      <c r="BQ3520" t="s">
        <v>2051</v>
      </c>
      <c r="BR3520" t="s">
        <v>97</v>
      </c>
      <c r="BS3520" s="3">
        <v>45960</v>
      </c>
      <c r="BT3520" s="4">
        <v>0.42430555555555555</v>
      </c>
      <c r="BU3520" t="s">
        <v>3636</v>
      </c>
      <c r="BV3520" t="s">
        <v>86</v>
      </c>
      <c r="BY3520">
        <v>80000</v>
      </c>
      <c r="CA3520" t="s">
        <v>2004</v>
      </c>
      <c r="CC3520" t="s">
        <v>149</v>
      </c>
      <c r="CD3520">
        <v>2197</v>
      </c>
      <c r="CE3520" t="s">
        <v>191</v>
      </c>
      <c r="CI3520">
        <v>1</v>
      </c>
      <c r="CJ3520">
        <v>1</v>
      </c>
      <c r="CK3520">
        <v>42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"080068827626"</f>
        <v>080068827626</v>
      </c>
      <c r="F3521" s="3">
        <v>45959</v>
      </c>
      <c r="G3521">
        <v>202607</v>
      </c>
      <c r="H3521" t="s">
        <v>79</v>
      </c>
      <c r="I3521" t="s">
        <v>80</v>
      </c>
      <c r="J3521" t="s">
        <v>91</v>
      </c>
      <c r="K3521" t="s">
        <v>78</v>
      </c>
      <c r="L3521" t="s">
        <v>168</v>
      </c>
      <c r="M3521" t="s">
        <v>169</v>
      </c>
      <c r="N3521" t="s">
        <v>3637</v>
      </c>
      <c r="O3521" t="s">
        <v>95</v>
      </c>
      <c r="P3521" t="str">
        <f>"4170066698                    "</f>
        <v xml:space="preserve">4170066698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59.29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8</v>
      </c>
      <c r="BJ3521">
        <v>24</v>
      </c>
      <c r="BK3521">
        <v>24</v>
      </c>
      <c r="BL3521">
        <v>194.06</v>
      </c>
      <c r="BM3521">
        <v>29.11</v>
      </c>
      <c r="BN3521">
        <v>223.17</v>
      </c>
      <c r="BO3521">
        <v>223.17</v>
      </c>
      <c r="BQ3521" t="s">
        <v>3638</v>
      </c>
      <c r="BR3521" t="s">
        <v>97</v>
      </c>
      <c r="BS3521" s="3">
        <v>45960</v>
      </c>
      <c r="BT3521" s="4">
        <v>0.37083333333333335</v>
      </c>
      <c r="BU3521" t="s">
        <v>3639</v>
      </c>
      <c r="BV3521" t="s">
        <v>86</v>
      </c>
      <c r="BY3521">
        <v>120000</v>
      </c>
      <c r="CA3521">
        <v>8711091131080</v>
      </c>
      <c r="CC3521" t="s">
        <v>169</v>
      </c>
      <c r="CD3521" s="5" t="s">
        <v>1061</v>
      </c>
      <c r="CE3521" t="s">
        <v>191</v>
      </c>
      <c r="CI3521">
        <v>1</v>
      </c>
      <c r="CJ3521">
        <v>1</v>
      </c>
      <c r="CK3521">
        <v>41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"080068827640"</f>
        <v>080068827640</v>
      </c>
      <c r="F3522" s="3">
        <v>45959</v>
      </c>
      <c r="G3522">
        <v>202607</v>
      </c>
      <c r="H3522" t="s">
        <v>79</v>
      </c>
      <c r="I3522" t="s">
        <v>80</v>
      </c>
      <c r="J3522" t="s">
        <v>91</v>
      </c>
      <c r="K3522" t="s">
        <v>78</v>
      </c>
      <c r="L3522" t="s">
        <v>206</v>
      </c>
      <c r="M3522" t="s">
        <v>207</v>
      </c>
      <c r="N3522" t="s">
        <v>556</v>
      </c>
      <c r="O3522" t="s">
        <v>82</v>
      </c>
      <c r="P3522" t="str">
        <f>"4170066696                    "</f>
        <v xml:space="preserve">4170066696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122.88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11</v>
      </c>
      <c r="BJ3522">
        <v>8.9</v>
      </c>
      <c r="BK3522">
        <v>11</v>
      </c>
      <c r="BL3522">
        <v>390</v>
      </c>
      <c r="BM3522">
        <v>58.5</v>
      </c>
      <c r="BN3522">
        <v>448.5</v>
      </c>
      <c r="BO3522">
        <v>448.5</v>
      </c>
      <c r="BQ3522" t="s">
        <v>557</v>
      </c>
      <c r="BR3522" t="s">
        <v>97</v>
      </c>
      <c r="BS3522" s="3">
        <v>45960</v>
      </c>
      <c r="BT3522" s="4">
        <v>0.43055555555555558</v>
      </c>
      <c r="BU3522" t="s">
        <v>3640</v>
      </c>
      <c r="BV3522" t="s">
        <v>86</v>
      </c>
      <c r="BY3522">
        <v>44460</v>
      </c>
      <c r="CA3522" t="s">
        <v>569</v>
      </c>
      <c r="CC3522" t="s">
        <v>207</v>
      </c>
      <c r="CD3522">
        <v>7945</v>
      </c>
      <c r="CE3522" t="s">
        <v>2314</v>
      </c>
      <c r="CI3522">
        <v>1</v>
      </c>
      <c r="CJ3522">
        <v>1</v>
      </c>
      <c r="CK3522">
        <v>21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"080068827675"</f>
        <v>080068827675</v>
      </c>
      <c r="F3523" s="3">
        <v>45959</v>
      </c>
      <c r="G3523">
        <v>202607</v>
      </c>
      <c r="H3523" t="s">
        <v>79</v>
      </c>
      <c r="I3523" t="s">
        <v>80</v>
      </c>
      <c r="J3523" t="s">
        <v>91</v>
      </c>
      <c r="K3523" t="s">
        <v>78</v>
      </c>
      <c r="L3523" t="s">
        <v>1095</v>
      </c>
      <c r="M3523" t="s">
        <v>1096</v>
      </c>
      <c r="N3523" t="s">
        <v>1197</v>
      </c>
      <c r="O3523" t="s">
        <v>95</v>
      </c>
      <c r="P3523" t="str">
        <f>"4170066711                    "</f>
        <v xml:space="preserve">4170066711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107.69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30</v>
      </c>
      <c r="BJ3523">
        <v>29.5</v>
      </c>
      <c r="BK3523">
        <v>30</v>
      </c>
      <c r="BL3523">
        <v>347.66</v>
      </c>
      <c r="BM3523">
        <v>52.15</v>
      </c>
      <c r="BN3523">
        <v>399.81</v>
      </c>
      <c r="BO3523">
        <v>399.81</v>
      </c>
      <c r="BQ3523" t="s">
        <v>1198</v>
      </c>
      <c r="BR3523" t="s">
        <v>97</v>
      </c>
      <c r="BS3523" s="3">
        <v>45960</v>
      </c>
      <c r="BT3523" s="4">
        <v>0.49513888888888891</v>
      </c>
      <c r="BU3523" t="s">
        <v>3417</v>
      </c>
      <c r="BV3523" t="s">
        <v>86</v>
      </c>
      <c r="BY3523">
        <v>147559</v>
      </c>
      <c r="CA3523" t="s">
        <v>3076</v>
      </c>
      <c r="CC3523" t="s">
        <v>1096</v>
      </c>
      <c r="CD3523">
        <v>2302</v>
      </c>
      <c r="CE3523" t="s">
        <v>724</v>
      </c>
      <c r="CI3523">
        <v>1</v>
      </c>
      <c r="CJ3523">
        <v>1</v>
      </c>
      <c r="CK3523">
        <v>43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"080068828133"</f>
        <v>080068828133</v>
      </c>
      <c r="F3524" s="3">
        <v>45959</v>
      </c>
      <c r="G3524">
        <v>202607</v>
      </c>
      <c r="H3524" t="s">
        <v>79</v>
      </c>
      <c r="I3524" t="s">
        <v>80</v>
      </c>
      <c r="J3524" t="s">
        <v>91</v>
      </c>
      <c r="K3524" t="s">
        <v>78</v>
      </c>
      <c r="L3524" t="s">
        <v>206</v>
      </c>
      <c r="M3524" t="s">
        <v>207</v>
      </c>
      <c r="N3524" t="s">
        <v>3457</v>
      </c>
      <c r="O3524" t="s">
        <v>82</v>
      </c>
      <c r="P3524" t="str">
        <f>"4170066728                    "</f>
        <v xml:space="preserve">4170066728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39.11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3</v>
      </c>
      <c r="BJ3524">
        <v>3.1</v>
      </c>
      <c r="BK3524">
        <v>3.5</v>
      </c>
      <c r="BL3524">
        <v>124.13</v>
      </c>
      <c r="BM3524">
        <v>18.62</v>
      </c>
      <c r="BN3524">
        <v>142.75</v>
      </c>
      <c r="BO3524">
        <v>142.75</v>
      </c>
      <c r="BQ3524" t="s">
        <v>3458</v>
      </c>
      <c r="BR3524" t="s">
        <v>97</v>
      </c>
      <c r="BS3524" s="3">
        <v>45960</v>
      </c>
      <c r="BT3524" s="4">
        <v>0.40972222222222221</v>
      </c>
      <c r="BU3524" t="s">
        <v>658</v>
      </c>
      <c r="BV3524" t="s">
        <v>86</v>
      </c>
      <c r="BY3524">
        <v>15360</v>
      </c>
      <c r="CA3524" t="s">
        <v>211</v>
      </c>
      <c r="CC3524" t="s">
        <v>207</v>
      </c>
      <c r="CD3524">
        <v>7441</v>
      </c>
      <c r="CE3524" t="s">
        <v>191</v>
      </c>
      <c r="CI3524">
        <v>1</v>
      </c>
      <c r="CJ3524">
        <v>1</v>
      </c>
      <c r="CK3524">
        <v>21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"080068828138"</f>
        <v>080068828138</v>
      </c>
      <c r="F3525" s="3">
        <v>45959</v>
      </c>
      <c r="G3525">
        <v>202607</v>
      </c>
      <c r="H3525" t="s">
        <v>79</v>
      </c>
      <c r="I3525" t="s">
        <v>80</v>
      </c>
      <c r="J3525" t="s">
        <v>91</v>
      </c>
      <c r="K3525" t="s">
        <v>78</v>
      </c>
      <c r="L3525" t="s">
        <v>605</v>
      </c>
      <c r="M3525" t="s">
        <v>606</v>
      </c>
      <c r="N3525" t="s">
        <v>607</v>
      </c>
      <c r="O3525" t="s">
        <v>95</v>
      </c>
      <c r="P3525" t="str">
        <f>"4170066719                    "</f>
        <v xml:space="preserve">4170066719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60.97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4</v>
      </c>
      <c r="BJ3525">
        <v>5</v>
      </c>
      <c r="BK3525">
        <v>5</v>
      </c>
      <c r="BL3525">
        <v>199.39</v>
      </c>
      <c r="BM3525">
        <v>29.91</v>
      </c>
      <c r="BN3525">
        <v>229.3</v>
      </c>
      <c r="BO3525">
        <v>229.3</v>
      </c>
      <c r="BQ3525" t="s">
        <v>608</v>
      </c>
      <c r="BR3525" t="s">
        <v>97</v>
      </c>
      <c r="BS3525" s="3">
        <v>45960</v>
      </c>
      <c r="BT3525" s="4">
        <v>0.32569444444444445</v>
      </c>
      <c r="BU3525" t="s">
        <v>609</v>
      </c>
      <c r="BV3525" t="s">
        <v>86</v>
      </c>
      <c r="BY3525">
        <v>24882</v>
      </c>
      <c r="CA3525" t="s">
        <v>1143</v>
      </c>
      <c r="CC3525" t="s">
        <v>606</v>
      </c>
      <c r="CD3525">
        <v>1947</v>
      </c>
      <c r="CE3525" t="s">
        <v>191</v>
      </c>
      <c r="CI3525">
        <v>1</v>
      </c>
      <c r="CJ3525">
        <v>1</v>
      </c>
      <c r="CK3525">
        <v>43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"080068828148"</f>
        <v>080068828148</v>
      </c>
      <c r="F3526" s="3">
        <v>45959</v>
      </c>
      <c r="G3526">
        <v>202607</v>
      </c>
      <c r="H3526" t="s">
        <v>79</v>
      </c>
      <c r="I3526" t="s">
        <v>80</v>
      </c>
      <c r="J3526" t="s">
        <v>91</v>
      </c>
      <c r="K3526" t="s">
        <v>78</v>
      </c>
      <c r="L3526" t="s">
        <v>148</v>
      </c>
      <c r="M3526" t="s">
        <v>149</v>
      </c>
      <c r="N3526" t="s">
        <v>2993</v>
      </c>
      <c r="O3526" t="s">
        <v>82</v>
      </c>
      <c r="P3526" t="str">
        <f>"4170066683                    "</f>
        <v xml:space="preserve">4170066683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17.46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55.42</v>
      </c>
      <c r="BM3526">
        <v>8.31</v>
      </c>
      <c r="BN3526">
        <v>63.73</v>
      </c>
      <c r="BO3526">
        <v>63.73</v>
      </c>
      <c r="BQ3526" t="s">
        <v>2994</v>
      </c>
      <c r="BR3526" t="s">
        <v>97</v>
      </c>
      <c r="BS3526" s="3">
        <v>45960</v>
      </c>
      <c r="BT3526" s="4">
        <v>0.36736111111111114</v>
      </c>
      <c r="BU3526" t="s">
        <v>2587</v>
      </c>
      <c r="BV3526" t="s">
        <v>86</v>
      </c>
      <c r="BY3526">
        <v>1200</v>
      </c>
      <c r="CA3526" t="s">
        <v>1463</v>
      </c>
      <c r="CC3526" t="s">
        <v>149</v>
      </c>
      <c r="CD3526">
        <v>2013</v>
      </c>
      <c r="CE3526" t="s">
        <v>147</v>
      </c>
      <c r="CI3526">
        <v>1</v>
      </c>
      <c r="CJ3526">
        <v>1</v>
      </c>
      <c r="CK3526">
        <v>22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"080068828154"</f>
        <v>080068828154</v>
      </c>
      <c r="F3527" s="3">
        <v>45959</v>
      </c>
      <c r="G3527">
        <v>202607</v>
      </c>
      <c r="H3527" t="s">
        <v>79</v>
      </c>
      <c r="I3527" t="s">
        <v>80</v>
      </c>
      <c r="J3527" t="s">
        <v>91</v>
      </c>
      <c r="K3527" t="s">
        <v>78</v>
      </c>
      <c r="L3527" t="s">
        <v>168</v>
      </c>
      <c r="M3527" t="s">
        <v>169</v>
      </c>
      <c r="N3527" t="s">
        <v>923</v>
      </c>
      <c r="O3527" t="s">
        <v>82</v>
      </c>
      <c r="P3527" t="str">
        <f>"4170066737                    "</f>
        <v xml:space="preserve">4170066737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22.36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2</v>
      </c>
      <c r="BJ3527">
        <v>1.9</v>
      </c>
      <c r="BK3527">
        <v>2</v>
      </c>
      <c r="BL3527">
        <v>70.959999999999994</v>
      </c>
      <c r="BM3527">
        <v>10.64</v>
      </c>
      <c r="BN3527">
        <v>81.599999999999994</v>
      </c>
      <c r="BO3527">
        <v>81.599999999999994</v>
      </c>
      <c r="BQ3527" t="s">
        <v>924</v>
      </c>
      <c r="BR3527" t="s">
        <v>97</v>
      </c>
      <c r="BS3527" s="3">
        <v>45960</v>
      </c>
      <c r="BT3527" s="4">
        <v>0.33888888888888891</v>
      </c>
      <c r="BU3527" t="s">
        <v>1121</v>
      </c>
      <c r="BV3527" t="s">
        <v>86</v>
      </c>
      <c r="BY3527">
        <v>9576</v>
      </c>
      <c r="CA3527">
        <v>9107126013089</v>
      </c>
      <c r="CC3527" t="s">
        <v>169</v>
      </c>
      <c r="CD3527" s="5" t="s">
        <v>926</v>
      </c>
      <c r="CE3527" t="s">
        <v>191</v>
      </c>
      <c r="CI3527">
        <v>1</v>
      </c>
      <c r="CJ3527">
        <v>1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"080068828165"</f>
        <v>080068828165</v>
      </c>
      <c r="F3528" s="3">
        <v>45959</v>
      </c>
      <c r="G3528">
        <v>202607</v>
      </c>
      <c r="H3528" t="s">
        <v>79</v>
      </c>
      <c r="I3528" t="s">
        <v>80</v>
      </c>
      <c r="J3528" t="s">
        <v>91</v>
      </c>
      <c r="K3528" t="s">
        <v>78</v>
      </c>
      <c r="L3528" t="s">
        <v>148</v>
      </c>
      <c r="M3528" t="s">
        <v>149</v>
      </c>
      <c r="N3528" t="s">
        <v>952</v>
      </c>
      <c r="O3528" t="s">
        <v>226</v>
      </c>
      <c r="P3528" t="str">
        <f>"4170066704                    "</f>
        <v xml:space="preserve">4170066704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17.47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5</v>
      </c>
      <c r="BJ3528">
        <v>3.1</v>
      </c>
      <c r="BK3528">
        <v>5</v>
      </c>
      <c r="BL3528">
        <v>55.44</v>
      </c>
      <c r="BM3528">
        <v>8.32</v>
      </c>
      <c r="BN3528">
        <v>63.76</v>
      </c>
      <c r="BO3528">
        <v>63.76</v>
      </c>
      <c r="BQ3528" t="s">
        <v>953</v>
      </c>
      <c r="BR3528" t="s">
        <v>97</v>
      </c>
      <c r="BS3528" s="3">
        <v>45960</v>
      </c>
      <c r="BT3528" s="4">
        <v>0.37430555555555556</v>
      </c>
      <c r="BU3528" t="s">
        <v>1702</v>
      </c>
      <c r="BV3528" t="s">
        <v>86</v>
      </c>
      <c r="BY3528">
        <v>15360</v>
      </c>
      <c r="CA3528" t="s">
        <v>1217</v>
      </c>
      <c r="CC3528" t="s">
        <v>149</v>
      </c>
      <c r="CD3528">
        <v>2091</v>
      </c>
      <c r="CE3528" t="s">
        <v>191</v>
      </c>
      <c r="CI3528">
        <v>1</v>
      </c>
      <c r="CJ3528">
        <v>1</v>
      </c>
      <c r="CK3528">
        <v>32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"080068828188"</f>
        <v>080068828188</v>
      </c>
      <c r="F3529" s="3">
        <v>45959</v>
      </c>
      <c r="G3529">
        <v>202607</v>
      </c>
      <c r="H3529" t="s">
        <v>79</v>
      </c>
      <c r="I3529" t="s">
        <v>80</v>
      </c>
      <c r="J3529" t="s">
        <v>91</v>
      </c>
      <c r="K3529" t="s">
        <v>78</v>
      </c>
      <c r="L3529" t="s">
        <v>121</v>
      </c>
      <c r="M3529" t="s">
        <v>122</v>
      </c>
      <c r="N3529" t="s">
        <v>123</v>
      </c>
      <c r="O3529" t="s">
        <v>82</v>
      </c>
      <c r="P3529" t="str">
        <f>"4170066706                    "</f>
        <v xml:space="preserve">4170066706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39.11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2</v>
      </c>
      <c r="BJ3529">
        <v>3.3</v>
      </c>
      <c r="BK3529">
        <v>3.5</v>
      </c>
      <c r="BL3529">
        <v>124.13</v>
      </c>
      <c r="BM3529">
        <v>18.62</v>
      </c>
      <c r="BN3529">
        <v>142.75</v>
      </c>
      <c r="BO3529">
        <v>142.75</v>
      </c>
      <c r="BQ3529" t="s">
        <v>124</v>
      </c>
      <c r="BR3529" t="s">
        <v>97</v>
      </c>
      <c r="BS3529" s="3">
        <v>45960</v>
      </c>
      <c r="BT3529" s="4">
        <v>0.33750000000000002</v>
      </c>
      <c r="BU3529" t="s">
        <v>3590</v>
      </c>
      <c r="BV3529" t="s">
        <v>86</v>
      </c>
      <c r="BY3529">
        <v>16416</v>
      </c>
      <c r="CA3529" t="s">
        <v>126</v>
      </c>
      <c r="CC3529" t="s">
        <v>122</v>
      </c>
      <c r="CD3529">
        <v>4051</v>
      </c>
      <c r="CE3529" t="s">
        <v>191</v>
      </c>
      <c r="CI3529">
        <v>1</v>
      </c>
      <c r="CJ3529">
        <v>1</v>
      </c>
      <c r="CK3529">
        <v>21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"080068828328"</f>
        <v>080068828328</v>
      </c>
      <c r="F3530" s="3">
        <v>45959</v>
      </c>
      <c r="G3530">
        <v>202607</v>
      </c>
      <c r="H3530" t="s">
        <v>79</v>
      </c>
      <c r="I3530" t="s">
        <v>80</v>
      </c>
      <c r="J3530" t="s">
        <v>91</v>
      </c>
      <c r="K3530" t="s">
        <v>78</v>
      </c>
      <c r="L3530" t="s">
        <v>148</v>
      </c>
      <c r="M3530" t="s">
        <v>149</v>
      </c>
      <c r="N3530" t="s">
        <v>1445</v>
      </c>
      <c r="O3530" t="s">
        <v>82</v>
      </c>
      <c r="P3530" t="str">
        <f>"4170066699                    "</f>
        <v xml:space="preserve">4170066699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17.46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3</v>
      </c>
      <c r="BJ3530">
        <v>4.0999999999999996</v>
      </c>
      <c r="BK3530">
        <v>5</v>
      </c>
      <c r="BL3530">
        <v>55.42</v>
      </c>
      <c r="BM3530">
        <v>8.31</v>
      </c>
      <c r="BN3530">
        <v>63.73</v>
      </c>
      <c r="BO3530">
        <v>63.73</v>
      </c>
      <c r="BQ3530" t="s">
        <v>1446</v>
      </c>
      <c r="BR3530" t="s">
        <v>97</v>
      </c>
      <c r="BS3530" t="s">
        <v>2659</v>
      </c>
      <c r="BY3530">
        <v>20358</v>
      </c>
      <c r="CC3530" t="s">
        <v>149</v>
      </c>
      <c r="CD3530">
        <v>2065</v>
      </c>
      <c r="CE3530" t="s">
        <v>191</v>
      </c>
      <c r="CI3530">
        <v>1</v>
      </c>
      <c r="CJ3530" t="s">
        <v>2659</v>
      </c>
      <c r="CK3530">
        <v>22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"080068828360"</f>
        <v>080068828360</v>
      </c>
      <c r="F3531" s="3">
        <v>45959</v>
      </c>
      <c r="G3531">
        <v>202607</v>
      </c>
      <c r="H3531" t="s">
        <v>79</v>
      </c>
      <c r="I3531" t="s">
        <v>80</v>
      </c>
      <c r="J3531" t="s">
        <v>91</v>
      </c>
      <c r="K3531" t="s">
        <v>78</v>
      </c>
      <c r="L3531" t="s">
        <v>206</v>
      </c>
      <c r="M3531" t="s">
        <v>207</v>
      </c>
      <c r="N3531" t="s">
        <v>734</v>
      </c>
      <c r="O3531" t="s">
        <v>82</v>
      </c>
      <c r="P3531" t="str">
        <f>"4170066705                    "</f>
        <v xml:space="preserve">4170066705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22.36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2</v>
      </c>
      <c r="BJ3531">
        <v>1.1000000000000001</v>
      </c>
      <c r="BK3531">
        <v>2</v>
      </c>
      <c r="BL3531">
        <v>70.959999999999994</v>
      </c>
      <c r="BM3531">
        <v>10.64</v>
      </c>
      <c r="BN3531">
        <v>81.599999999999994</v>
      </c>
      <c r="BO3531">
        <v>81.599999999999994</v>
      </c>
      <c r="BQ3531" t="s">
        <v>735</v>
      </c>
      <c r="BR3531" t="s">
        <v>97</v>
      </c>
      <c r="BS3531" s="3">
        <v>45960</v>
      </c>
      <c r="BT3531" s="4">
        <v>0.40694444444444444</v>
      </c>
      <c r="BU3531" t="s">
        <v>736</v>
      </c>
      <c r="BV3531" t="s">
        <v>86</v>
      </c>
      <c r="BY3531">
        <v>5320</v>
      </c>
      <c r="CA3531" t="s">
        <v>480</v>
      </c>
      <c r="CC3531" t="s">
        <v>207</v>
      </c>
      <c r="CD3531">
        <v>7480</v>
      </c>
      <c r="CE3531" t="s">
        <v>191</v>
      </c>
      <c r="CI3531">
        <v>1</v>
      </c>
      <c r="CJ3531">
        <v>1</v>
      </c>
      <c r="CK3531">
        <v>21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"080068828383"</f>
        <v>080068828383</v>
      </c>
      <c r="F3532" s="3">
        <v>45959</v>
      </c>
      <c r="G3532">
        <v>202607</v>
      </c>
      <c r="H3532" t="s">
        <v>79</v>
      </c>
      <c r="I3532" t="s">
        <v>80</v>
      </c>
      <c r="J3532" t="s">
        <v>91</v>
      </c>
      <c r="K3532" t="s">
        <v>78</v>
      </c>
      <c r="L3532" t="s">
        <v>206</v>
      </c>
      <c r="M3532" t="s">
        <v>207</v>
      </c>
      <c r="N3532" t="s">
        <v>935</v>
      </c>
      <c r="O3532" t="s">
        <v>82</v>
      </c>
      <c r="P3532" t="str">
        <f>"4170066722                    "</f>
        <v xml:space="preserve">4170066722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67.03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5.6</v>
      </c>
      <c r="BK3532">
        <v>6</v>
      </c>
      <c r="BL3532">
        <v>212.75</v>
      </c>
      <c r="BM3532">
        <v>31.91</v>
      </c>
      <c r="BN3532">
        <v>244.66</v>
      </c>
      <c r="BO3532">
        <v>244.66</v>
      </c>
      <c r="BQ3532" t="s">
        <v>936</v>
      </c>
      <c r="BR3532" t="s">
        <v>97</v>
      </c>
      <c r="BS3532" s="3">
        <v>45960</v>
      </c>
      <c r="BT3532" s="4">
        <v>0.41388888888888886</v>
      </c>
      <c r="BU3532" t="s">
        <v>3613</v>
      </c>
      <c r="BV3532" t="s">
        <v>86</v>
      </c>
      <c r="BY3532">
        <v>28080</v>
      </c>
      <c r="CA3532" t="s">
        <v>2795</v>
      </c>
      <c r="CC3532" t="s">
        <v>207</v>
      </c>
      <c r="CD3532">
        <v>7441</v>
      </c>
      <c r="CE3532" t="s">
        <v>107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"080068828387"</f>
        <v>080068828387</v>
      </c>
      <c r="F3533" s="3">
        <v>45959</v>
      </c>
      <c r="G3533">
        <v>202607</v>
      </c>
      <c r="H3533" t="s">
        <v>79</v>
      </c>
      <c r="I3533" t="s">
        <v>80</v>
      </c>
      <c r="J3533" t="s">
        <v>91</v>
      </c>
      <c r="K3533" t="s">
        <v>78</v>
      </c>
      <c r="L3533" t="s">
        <v>121</v>
      </c>
      <c r="M3533" t="s">
        <v>122</v>
      </c>
      <c r="N3533" t="s">
        <v>159</v>
      </c>
      <c r="O3533" t="s">
        <v>82</v>
      </c>
      <c r="P3533" t="str">
        <f>"4170066718                    "</f>
        <v xml:space="preserve">4170066718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50.28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4</v>
      </c>
      <c r="BJ3533">
        <v>4.0999999999999996</v>
      </c>
      <c r="BK3533">
        <v>4.5</v>
      </c>
      <c r="BL3533">
        <v>159.58000000000001</v>
      </c>
      <c r="BM3533">
        <v>23.94</v>
      </c>
      <c r="BN3533">
        <v>183.52</v>
      </c>
      <c r="BO3533">
        <v>183.52</v>
      </c>
      <c r="BQ3533" t="s">
        <v>160</v>
      </c>
      <c r="BR3533" t="s">
        <v>97</v>
      </c>
      <c r="BS3533" s="3">
        <v>45960</v>
      </c>
      <c r="BT3533" s="4">
        <v>0.38611111111111113</v>
      </c>
      <c r="BU3533" t="s">
        <v>2781</v>
      </c>
      <c r="BV3533" t="s">
        <v>86</v>
      </c>
      <c r="BY3533">
        <v>20358</v>
      </c>
      <c r="CA3533" t="s">
        <v>3272</v>
      </c>
      <c r="CC3533" t="s">
        <v>122</v>
      </c>
      <c r="CD3533">
        <v>4000</v>
      </c>
      <c r="CE3533" t="s">
        <v>191</v>
      </c>
      <c r="CI3533">
        <v>1</v>
      </c>
      <c r="CJ3533">
        <v>1</v>
      </c>
      <c r="CK3533">
        <v>21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"080068828398"</f>
        <v>080068828398</v>
      </c>
      <c r="F3534" s="3">
        <v>45959</v>
      </c>
      <c r="G3534">
        <v>202607</v>
      </c>
      <c r="H3534" t="s">
        <v>79</v>
      </c>
      <c r="I3534" t="s">
        <v>80</v>
      </c>
      <c r="J3534" t="s">
        <v>91</v>
      </c>
      <c r="K3534" t="s">
        <v>78</v>
      </c>
      <c r="L3534" t="s">
        <v>168</v>
      </c>
      <c r="M3534" t="s">
        <v>169</v>
      </c>
      <c r="N3534" t="s">
        <v>1541</v>
      </c>
      <c r="O3534" t="s">
        <v>95</v>
      </c>
      <c r="P3534" t="str">
        <f>"4170066710                    "</f>
        <v xml:space="preserve">4170066710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55.72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9</v>
      </c>
      <c r="BJ3534">
        <v>21.1</v>
      </c>
      <c r="BK3534">
        <v>22</v>
      </c>
      <c r="BL3534">
        <v>182.73</v>
      </c>
      <c r="BM3534">
        <v>27.41</v>
      </c>
      <c r="BN3534">
        <v>210.14</v>
      </c>
      <c r="BO3534">
        <v>210.14</v>
      </c>
      <c r="BQ3534" t="s">
        <v>1542</v>
      </c>
      <c r="BR3534" t="s">
        <v>97</v>
      </c>
      <c r="BS3534" t="s">
        <v>2659</v>
      </c>
      <c r="BY3534">
        <v>105600</v>
      </c>
      <c r="CC3534" t="s">
        <v>169</v>
      </c>
      <c r="CD3534" s="5" t="s">
        <v>173</v>
      </c>
      <c r="CE3534" t="s">
        <v>191</v>
      </c>
      <c r="CI3534">
        <v>1</v>
      </c>
      <c r="CJ3534" t="s">
        <v>2659</v>
      </c>
      <c r="CK3534">
        <v>41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"080068828404"</f>
        <v>080068828404</v>
      </c>
      <c r="F3535" s="3">
        <v>45959</v>
      </c>
      <c r="G3535">
        <v>202607</v>
      </c>
      <c r="H3535" t="s">
        <v>79</v>
      </c>
      <c r="I3535" t="s">
        <v>80</v>
      </c>
      <c r="J3535" t="s">
        <v>91</v>
      </c>
      <c r="K3535" t="s">
        <v>78</v>
      </c>
      <c r="L3535" t="s">
        <v>300</v>
      </c>
      <c r="M3535" t="s">
        <v>301</v>
      </c>
      <c r="N3535" t="s">
        <v>2642</v>
      </c>
      <c r="O3535" t="s">
        <v>82</v>
      </c>
      <c r="P3535" t="str">
        <f>"4170066724                    "</f>
        <v xml:space="preserve">4170066724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92.68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6</v>
      </c>
      <c r="BJ3535">
        <v>4.0999999999999996</v>
      </c>
      <c r="BK3535">
        <v>6</v>
      </c>
      <c r="BL3535">
        <v>294.14999999999998</v>
      </c>
      <c r="BM3535">
        <v>44.12</v>
      </c>
      <c r="BN3535">
        <v>338.27</v>
      </c>
      <c r="BO3535">
        <v>338.27</v>
      </c>
      <c r="BQ3535" t="s">
        <v>2643</v>
      </c>
      <c r="BR3535" t="s">
        <v>97</v>
      </c>
      <c r="BS3535" s="3">
        <v>45960</v>
      </c>
      <c r="BT3535" s="4">
        <v>0.48749999999999999</v>
      </c>
      <c r="BU3535" t="s">
        <v>3641</v>
      </c>
      <c r="BV3535" t="s">
        <v>90</v>
      </c>
      <c r="BY3535">
        <v>20358</v>
      </c>
      <c r="CA3535" t="s">
        <v>496</v>
      </c>
      <c r="CC3535" t="s">
        <v>301</v>
      </c>
      <c r="CD3535">
        <v>1739</v>
      </c>
      <c r="CE3535" t="s">
        <v>191</v>
      </c>
      <c r="CI3535">
        <v>1</v>
      </c>
      <c r="CJ3535">
        <v>1</v>
      </c>
      <c r="CK3535">
        <v>24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"080068828417"</f>
        <v>080068828417</v>
      </c>
      <c r="F3536" s="3">
        <v>45959</v>
      </c>
      <c r="G3536">
        <v>202607</v>
      </c>
      <c r="H3536" t="s">
        <v>79</v>
      </c>
      <c r="I3536" t="s">
        <v>80</v>
      </c>
      <c r="J3536" t="s">
        <v>91</v>
      </c>
      <c r="K3536" t="s">
        <v>78</v>
      </c>
      <c r="L3536" t="s">
        <v>148</v>
      </c>
      <c r="M3536" t="s">
        <v>149</v>
      </c>
      <c r="N3536" t="s">
        <v>849</v>
      </c>
      <c r="O3536" t="s">
        <v>82</v>
      </c>
      <c r="P3536" t="str">
        <f>"4170066727                    "</f>
        <v xml:space="preserve">4170066727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17.46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55.42</v>
      </c>
      <c r="BM3536">
        <v>8.31</v>
      </c>
      <c r="BN3536">
        <v>63.73</v>
      </c>
      <c r="BO3536">
        <v>63.73</v>
      </c>
      <c r="BQ3536" t="s">
        <v>850</v>
      </c>
      <c r="BR3536" t="s">
        <v>97</v>
      </c>
      <c r="BS3536" s="3">
        <v>45960</v>
      </c>
      <c r="BT3536" s="4">
        <v>0.34722222222222221</v>
      </c>
      <c r="BU3536" t="s">
        <v>3278</v>
      </c>
      <c r="BV3536" t="s">
        <v>86</v>
      </c>
      <c r="BY3536">
        <v>1200</v>
      </c>
      <c r="CA3536" t="s">
        <v>519</v>
      </c>
      <c r="CC3536" t="s">
        <v>149</v>
      </c>
      <c r="CD3536">
        <v>2094</v>
      </c>
      <c r="CE3536" t="s">
        <v>147</v>
      </c>
      <c r="CI3536">
        <v>1</v>
      </c>
      <c r="CJ3536">
        <v>1</v>
      </c>
      <c r="CK3536">
        <v>22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"080068828437"</f>
        <v>080068828437</v>
      </c>
      <c r="F3537" s="3">
        <v>45959</v>
      </c>
      <c r="G3537">
        <v>202607</v>
      </c>
      <c r="H3537" t="s">
        <v>79</v>
      </c>
      <c r="I3537" t="s">
        <v>80</v>
      </c>
      <c r="J3537" t="s">
        <v>91</v>
      </c>
      <c r="K3537" t="s">
        <v>78</v>
      </c>
      <c r="L3537" t="s">
        <v>79</v>
      </c>
      <c r="M3537" t="s">
        <v>80</v>
      </c>
      <c r="N3537" t="s">
        <v>1455</v>
      </c>
      <c r="O3537" t="s">
        <v>82</v>
      </c>
      <c r="P3537" t="str">
        <f>"4170066686                    "</f>
        <v xml:space="preserve">4170066686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17.46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55.42</v>
      </c>
      <c r="BM3537">
        <v>8.31</v>
      </c>
      <c r="BN3537">
        <v>63.73</v>
      </c>
      <c r="BO3537">
        <v>63.73</v>
      </c>
      <c r="BQ3537" t="s">
        <v>1456</v>
      </c>
      <c r="BR3537" t="s">
        <v>97</v>
      </c>
      <c r="BS3537" s="3">
        <v>45960</v>
      </c>
      <c r="BT3537" s="4">
        <v>0.36319444444444443</v>
      </c>
      <c r="BU3537" t="s">
        <v>3642</v>
      </c>
      <c r="BV3537" t="s">
        <v>86</v>
      </c>
      <c r="BY3537">
        <v>1200</v>
      </c>
      <c r="CA3537" t="s">
        <v>166</v>
      </c>
      <c r="CC3537" t="s">
        <v>80</v>
      </c>
      <c r="CD3537">
        <v>1619</v>
      </c>
      <c r="CE3537" t="s">
        <v>147</v>
      </c>
      <c r="CI3537">
        <v>1</v>
      </c>
      <c r="CJ3537">
        <v>1</v>
      </c>
      <c r="CK3537">
        <v>22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"080068828445"</f>
        <v>080068828445</v>
      </c>
      <c r="F3538" s="3">
        <v>45959</v>
      </c>
      <c r="G3538">
        <v>202607</v>
      </c>
      <c r="H3538" t="s">
        <v>79</v>
      </c>
      <c r="I3538" t="s">
        <v>80</v>
      </c>
      <c r="J3538" t="s">
        <v>91</v>
      </c>
      <c r="K3538" t="s">
        <v>78</v>
      </c>
      <c r="L3538" t="s">
        <v>108</v>
      </c>
      <c r="M3538" t="s">
        <v>109</v>
      </c>
      <c r="N3538" t="s">
        <v>751</v>
      </c>
      <c r="O3538" t="s">
        <v>82</v>
      </c>
      <c r="P3538" t="str">
        <f>"4170066707                    "</f>
        <v xml:space="preserve">4170066707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111.71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10</v>
      </c>
      <c r="BJ3538">
        <v>3.9</v>
      </c>
      <c r="BK3538">
        <v>10</v>
      </c>
      <c r="BL3538">
        <v>354.55</v>
      </c>
      <c r="BM3538">
        <v>53.18</v>
      </c>
      <c r="BN3538">
        <v>407.73</v>
      </c>
      <c r="BO3538">
        <v>407.73</v>
      </c>
      <c r="BQ3538" t="s">
        <v>752</v>
      </c>
      <c r="BR3538" t="s">
        <v>97</v>
      </c>
      <c r="BS3538" s="3">
        <v>45960</v>
      </c>
      <c r="BT3538" s="4">
        <v>0.3888888888888889</v>
      </c>
      <c r="BU3538" t="s">
        <v>1710</v>
      </c>
      <c r="BV3538" t="s">
        <v>86</v>
      </c>
      <c r="BY3538">
        <v>19440</v>
      </c>
      <c r="CA3538" t="s">
        <v>1090</v>
      </c>
      <c r="CC3538" t="s">
        <v>109</v>
      </c>
      <c r="CD3538">
        <v>6001</v>
      </c>
      <c r="CE3538" t="s">
        <v>191</v>
      </c>
      <c r="CI3538">
        <v>1</v>
      </c>
      <c r="CJ3538">
        <v>1</v>
      </c>
      <c r="CK3538">
        <v>21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"080068828460"</f>
        <v>080068828460</v>
      </c>
      <c r="F3539" s="3">
        <v>45959</v>
      </c>
      <c r="G3539">
        <v>202607</v>
      </c>
      <c r="H3539" t="s">
        <v>79</v>
      </c>
      <c r="I3539" t="s">
        <v>80</v>
      </c>
      <c r="J3539" t="s">
        <v>91</v>
      </c>
      <c r="K3539" t="s">
        <v>78</v>
      </c>
      <c r="L3539" t="s">
        <v>300</v>
      </c>
      <c r="M3539" t="s">
        <v>301</v>
      </c>
      <c r="N3539" t="s">
        <v>3643</v>
      </c>
      <c r="O3539" t="s">
        <v>82</v>
      </c>
      <c r="P3539" t="str">
        <f>"4170066715                    "</f>
        <v xml:space="preserve">4170066715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31.44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99.79</v>
      </c>
      <c r="BM3539">
        <v>14.97</v>
      </c>
      <c r="BN3539">
        <v>114.76</v>
      </c>
      <c r="BO3539">
        <v>114.76</v>
      </c>
      <c r="BQ3539" t="s">
        <v>3644</v>
      </c>
      <c r="BR3539" t="s">
        <v>97</v>
      </c>
      <c r="BS3539" t="s">
        <v>2659</v>
      </c>
      <c r="BY3539">
        <v>1200</v>
      </c>
      <c r="CC3539" t="s">
        <v>301</v>
      </c>
      <c r="CD3539">
        <v>1739</v>
      </c>
      <c r="CE3539" t="s">
        <v>147</v>
      </c>
      <c r="CI3539">
        <v>1</v>
      </c>
      <c r="CJ3539" t="s">
        <v>2659</v>
      </c>
      <c r="CK3539">
        <v>24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"080068828468"</f>
        <v>080068828468</v>
      </c>
      <c r="F3540" s="3">
        <v>45959</v>
      </c>
      <c r="G3540">
        <v>202607</v>
      </c>
      <c r="H3540" t="s">
        <v>79</v>
      </c>
      <c r="I3540" t="s">
        <v>80</v>
      </c>
      <c r="J3540" t="s">
        <v>91</v>
      </c>
      <c r="K3540" t="s">
        <v>78</v>
      </c>
      <c r="L3540" t="s">
        <v>763</v>
      </c>
      <c r="M3540" t="s">
        <v>764</v>
      </c>
      <c r="N3540" t="s">
        <v>765</v>
      </c>
      <c r="O3540" t="s">
        <v>82</v>
      </c>
      <c r="P3540" t="str">
        <f>"4170066682                    "</f>
        <v xml:space="preserve">4170066682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43.31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1.5</v>
      </c>
      <c r="BJ3540">
        <v>1</v>
      </c>
      <c r="BK3540">
        <v>1.5</v>
      </c>
      <c r="BL3540">
        <v>137.47</v>
      </c>
      <c r="BM3540">
        <v>20.62</v>
      </c>
      <c r="BN3540">
        <v>158.09</v>
      </c>
      <c r="BO3540">
        <v>158.09</v>
      </c>
      <c r="BQ3540" t="s">
        <v>766</v>
      </c>
      <c r="BR3540" t="s">
        <v>97</v>
      </c>
      <c r="BS3540" s="3">
        <v>45960</v>
      </c>
      <c r="BT3540" s="4">
        <v>0.50694444444444442</v>
      </c>
      <c r="BU3540" t="s">
        <v>767</v>
      </c>
      <c r="BV3540" t="s">
        <v>86</v>
      </c>
      <c r="BY3540">
        <v>4991.3</v>
      </c>
      <c r="CA3540" t="s">
        <v>768</v>
      </c>
      <c r="CC3540" t="s">
        <v>764</v>
      </c>
      <c r="CD3540">
        <v>2531</v>
      </c>
      <c r="CE3540" t="s">
        <v>191</v>
      </c>
      <c r="CI3540">
        <v>1</v>
      </c>
      <c r="CJ3540">
        <v>1</v>
      </c>
      <c r="CK3540">
        <v>23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"080068828485"</f>
        <v>080068828485</v>
      </c>
      <c r="F3541" s="3">
        <v>45959</v>
      </c>
      <c r="G3541">
        <v>202607</v>
      </c>
      <c r="H3541" t="s">
        <v>79</v>
      </c>
      <c r="I3541" t="s">
        <v>80</v>
      </c>
      <c r="J3541" t="s">
        <v>91</v>
      </c>
      <c r="K3541" t="s">
        <v>78</v>
      </c>
      <c r="L3541" t="s">
        <v>218</v>
      </c>
      <c r="M3541" t="s">
        <v>219</v>
      </c>
      <c r="N3541" t="s">
        <v>220</v>
      </c>
      <c r="O3541" t="s">
        <v>82</v>
      </c>
      <c r="P3541" t="str">
        <f>"4170066114                    "</f>
        <v xml:space="preserve">4170066114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17.46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55.42</v>
      </c>
      <c r="BM3541">
        <v>8.31</v>
      </c>
      <c r="BN3541">
        <v>63.73</v>
      </c>
      <c r="BO3541">
        <v>63.73</v>
      </c>
      <c r="BQ3541" t="s">
        <v>221</v>
      </c>
      <c r="BR3541" t="s">
        <v>97</v>
      </c>
      <c r="BS3541" s="3">
        <v>45960</v>
      </c>
      <c r="BT3541" s="4">
        <v>0.40486111111111112</v>
      </c>
      <c r="BU3541" t="s">
        <v>199</v>
      </c>
      <c r="BV3541" t="s">
        <v>86</v>
      </c>
      <c r="BY3541">
        <v>1200</v>
      </c>
      <c r="CA3541" t="s">
        <v>720</v>
      </c>
      <c r="CC3541" t="s">
        <v>219</v>
      </c>
      <c r="CD3541">
        <v>1559</v>
      </c>
      <c r="CE3541" t="s">
        <v>147</v>
      </c>
      <c r="CI3541">
        <v>1</v>
      </c>
      <c r="CJ3541">
        <v>1</v>
      </c>
      <c r="CK3541">
        <v>22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"080068757604"</f>
        <v>080068757604</v>
      </c>
      <c r="F3542" s="3">
        <v>45957</v>
      </c>
      <c r="G3542">
        <v>202607</v>
      </c>
      <c r="H3542" t="s">
        <v>79</v>
      </c>
      <c r="I3542" t="s">
        <v>80</v>
      </c>
      <c r="J3542" t="s">
        <v>1944</v>
      </c>
      <c r="K3542" t="s">
        <v>78</v>
      </c>
      <c r="L3542" t="s">
        <v>333</v>
      </c>
      <c r="M3542" t="s">
        <v>334</v>
      </c>
      <c r="N3542" t="s">
        <v>794</v>
      </c>
      <c r="O3542" t="s">
        <v>95</v>
      </c>
      <c r="P3542" t="str">
        <f>"4170066208                    "</f>
        <v xml:space="preserve">4170066208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64.650000000000006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0.2</v>
      </c>
      <c r="BJ3542">
        <v>26.3</v>
      </c>
      <c r="BK3542">
        <v>27</v>
      </c>
      <c r="BL3542">
        <v>211.06</v>
      </c>
      <c r="BM3542">
        <v>31.66</v>
      </c>
      <c r="BN3542">
        <v>242.72</v>
      </c>
      <c r="BO3542">
        <v>242.72</v>
      </c>
      <c r="BQ3542" t="s">
        <v>795</v>
      </c>
      <c r="BR3542" t="s">
        <v>1945</v>
      </c>
      <c r="BS3542" s="3">
        <v>45958</v>
      </c>
      <c r="BT3542" s="4">
        <v>0.41388888888888886</v>
      </c>
      <c r="BU3542" t="s">
        <v>796</v>
      </c>
      <c r="BV3542" t="s">
        <v>86</v>
      </c>
      <c r="BY3542">
        <v>131423.45000000001</v>
      </c>
      <c r="BZ3542" t="s">
        <v>2096</v>
      </c>
      <c r="CA3542" t="s">
        <v>142</v>
      </c>
      <c r="CC3542" t="s">
        <v>334</v>
      </c>
      <c r="CD3542">
        <v>6220</v>
      </c>
      <c r="CE3542" t="s">
        <v>120</v>
      </c>
      <c r="CF3542" s="3">
        <v>45958</v>
      </c>
      <c r="CI3542">
        <v>2</v>
      </c>
      <c r="CJ3542">
        <v>1</v>
      </c>
      <c r="CK3542">
        <v>41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"080068791450"</f>
        <v>080068791450</v>
      </c>
      <c r="F3543" s="3">
        <v>45958</v>
      </c>
      <c r="G3543">
        <v>202607</v>
      </c>
      <c r="H3543" t="s">
        <v>79</v>
      </c>
      <c r="I3543" t="s">
        <v>80</v>
      </c>
      <c r="J3543" t="s">
        <v>91</v>
      </c>
      <c r="K3543" t="s">
        <v>78</v>
      </c>
      <c r="L3543" t="s">
        <v>108</v>
      </c>
      <c r="M3543" t="s">
        <v>109</v>
      </c>
      <c r="N3543" t="s">
        <v>365</v>
      </c>
      <c r="O3543" t="s">
        <v>82</v>
      </c>
      <c r="P3543" t="str">
        <f>"4170066455                    "</f>
        <v xml:space="preserve">4170066455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</v>
      </c>
      <c r="BK3543">
        <v>1</v>
      </c>
      <c r="BL3543">
        <v>0</v>
      </c>
      <c r="BM3543">
        <v>0</v>
      </c>
      <c r="BN3543">
        <v>0</v>
      </c>
      <c r="BO3543">
        <v>0</v>
      </c>
      <c r="BQ3543" t="s">
        <v>366</v>
      </c>
      <c r="BR3543" t="s">
        <v>97</v>
      </c>
      <c r="BS3543" s="3">
        <v>45958</v>
      </c>
      <c r="BT3543" s="4">
        <v>0.56944444444444442</v>
      </c>
      <c r="BU3543" t="s">
        <v>1942</v>
      </c>
      <c r="BV3543" t="s">
        <v>86</v>
      </c>
      <c r="BY3543">
        <v>1200</v>
      </c>
      <c r="BZ3543" t="s">
        <v>1947</v>
      </c>
      <c r="CA3543" t="s">
        <v>3645</v>
      </c>
      <c r="CC3543" t="s">
        <v>109</v>
      </c>
      <c r="CD3543">
        <v>6056</v>
      </c>
      <c r="CE3543" t="s">
        <v>120</v>
      </c>
      <c r="CI3543">
        <v>1</v>
      </c>
      <c r="CJ3543">
        <v>0</v>
      </c>
      <c r="CK3543">
        <v>-1</v>
      </c>
      <c r="CL354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sdrascd7-IENOMKE147177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2025-10-30T11:59:53Z</dcterms:created>
  <dcterms:modified xsi:type="dcterms:W3CDTF">2025-10-30T12:00:11Z</dcterms:modified>
</cp:coreProperties>
</file>